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3\"/>
    </mc:Choice>
  </mc:AlternateContent>
  <xr:revisionPtr revIDLastSave="0" documentId="13_ncr:1_{BC833976-DE8A-4A21-B6E9-AAA7BDADAE4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D2" sheetId="6" r:id="rId2"/>
  </sheets>
  <definedNames>
    <definedName name="_xlnm.Print_Area" localSheetId="1">'D2'!$B$1:$W$55</definedName>
  </definedNames>
  <calcPr calcId="191029"/>
</workbook>
</file>

<file path=xl/calcChain.xml><?xml version="1.0" encoding="utf-8"?>
<calcChain xmlns="http://schemas.openxmlformats.org/spreadsheetml/2006/main">
  <c r="H29" i="6" l="1"/>
  <c r="H55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L33" i="6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L26" i="6" s="1"/>
  <c r="E22" i="6"/>
  <c r="K26" i="6" s="1"/>
  <c r="AH25" i="6"/>
  <c r="AJ25" i="6" s="1"/>
  <c r="K25" i="6"/>
  <c r="AH24" i="6"/>
  <c r="AJ24" i="6" s="1"/>
  <c r="K24" i="6"/>
  <c r="AH23" i="6"/>
  <c r="K23" i="6"/>
  <c r="H21" i="6"/>
  <c r="L23" i="6" s="1"/>
  <c r="E21" i="6"/>
  <c r="AH22" i="6"/>
  <c r="L22" i="6"/>
  <c r="H20" i="6"/>
  <c r="E20" i="6"/>
  <c r="K22" i="6" s="1"/>
  <c r="H19" i="6"/>
  <c r="E19" i="6"/>
  <c r="L21" i="6" s="1"/>
  <c r="H18" i="6"/>
  <c r="L20" i="6" s="1"/>
  <c r="E18" i="6"/>
  <c r="K20" i="6" s="1"/>
  <c r="L19" i="6"/>
  <c r="H17" i="6"/>
  <c r="E17" i="6"/>
  <c r="K19" i="6" s="1"/>
  <c r="AH18" i="6"/>
  <c r="AJ18" i="6" s="1"/>
  <c r="L18" i="6"/>
  <c r="H16" i="6"/>
  <c r="E16" i="6"/>
  <c r="K18" i="6" s="1"/>
  <c r="AH17" i="6"/>
  <c r="AJ17" i="6" s="1"/>
  <c r="H15" i="6"/>
  <c r="L17" i="6" s="1"/>
  <c r="E15" i="6"/>
  <c r="K17" i="6" s="1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K11" i="6" s="1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K8" i="6" s="1"/>
  <c r="E8" i="6"/>
  <c r="L8" i="6" s="1"/>
  <c r="H7" i="6"/>
  <c r="L7" i="6" s="1"/>
  <c r="E7" i="6"/>
  <c r="K7" i="6" s="1"/>
  <c r="K6" i="6"/>
  <c r="H6" i="6"/>
  <c r="E6" i="6"/>
  <c r="L11" i="6" l="1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5" i="6" s="1"/>
  <c r="DK29" i="6"/>
  <c r="U25" i="6" s="1"/>
  <c r="DD30" i="6"/>
  <c r="DF30" i="6" s="1"/>
  <c r="P26" i="6" s="1"/>
  <c r="DI29" i="6"/>
  <c r="S25" i="6" s="1"/>
  <c r="DH29" i="6"/>
  <c r="R25" i="6" s="1"/>
  <c r="DJ29" i="6"/>
  <c r="T25" i="6" s="1"/>
  <c r="DL29" i="6"/>
  <c r="V25" i="6" s="1"/>
  <c r="N25" i="6"/>
  <c r="DE29" i="6"/>
  <c r="O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6" i="6" s="1"/>
  <c r="DL30" i="6"/>
  <c r="V26" i="6" s="1"/>
  <c r="N26" i="6"/>
  <c r="DE30" i="6"/>
  <c r="O26" i="6" s="1"/>
  <c r="DD31" i="6"/>
  <c r="DK31" i="6" s="1"/>
  <c r="U27" i="6" s="1"/>
  <c r="AF82" i="6" s="1"/>
  <c r="DH30" i="6"/>
  <c r="R26" i="6" s="1"/>
  <c r="DG30" i="6"/>
  <c r="Q26" i="6" s="1"/>
  <c r="DI30" i="6"/>
  <c r="S26" i="6" s="1"/>
  <c r="DK30" i="6"/>
  <c r="U26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7" i="6" s="1"/>
  <c r="AG82" i="6" s="1"/>
  <c r="AI82" i="6" s="1"/>
  <c r="DJ31" i="6"/>
  <c r="T27" i="6" s="1"/>
  <c r="AE82" i="6" s="1"/>
  <c r="N27" i="6"/>
  <c r="Y82" i="6" s="1"/>
  <c r="AH82" i="6" s="1"/>
  <c r="AJ82" i="6" s="1"/>
  <c r="AL82" i="6" s="1"/>
  <c r="DF31" i="6"/>
  <c r="P27" i="6" s="1"/>
  <c r="AA82" i="6" s="1"/>
  <c r="DH31" i="6"/>
  <c r="R27" i="6" s="1"/>
  <c r="AC82" i="6" s="1"/>
  <c r="DD32" i="6"/>
  <c r="DI32" i="6" s="1"/>
  <c r="S28" i="6" s="1"/>
  <c r="DG31" i="6"/>
  <c r="Q27" i="6" s="1"/>
  <c r="AB82" i="6" s="1"/>
  <c r="DE31" i="6"/>
  <c r="O27" i="6" s="1"/>
  <c r="Z82" i="6" s="1"/>
  <c r="DI31" i="6"/>
  <c r="S27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R28" i="6" s="1"/>
  <c r="DJ32" i="6"/>
  <c r="T28" i="6" s="1"/>
  <c r="DE32" i="6"/>
  <c r="O28" i="6" s="1"/>
  <c r="DK32" i="6"/>
  <c r="U28" i="6" s="1"/>
  <c r="DF32" i="6"/>
  <c r="P28" i="6" s="1"/>
  <c r="N28" i="6"/>
  <c r="DL32" i="6"/>
  <c r="V28" i="6" s="1"/>
  <c r="DG32" i="6"/>
  <c r="Q28" i="6" s="1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<sst xmlns="http://schemas.openxmlformats.org/spreadsheetml/2006/main" count="504" uniqueCount="105">
  <si>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</si>
  <si>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</si>
  <si>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</si>
  <si>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</si>
  <si>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</si>
  <si>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</si>
  <si>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</si>
  <si>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</si>
  <si>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</si>
  <si>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</si>
  <si>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</si>
  <si>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</si>
  <si>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</si>
  <si>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</si>
  <si>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</si>
  <si>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</si>
  <si>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</si>
  <si>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</si>
  <si>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</si>
  <si>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</si>
  <si>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</si>
  <si>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</si>
  <si>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</si>
  <si>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</si>
  <si>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</si>
  <si>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</si>
  <si>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</si>
  <si>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</si>
  <si>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</si>
  <si>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</si>
  <si>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</si>
  <si>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</si>
  <si>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</si>
  <si>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</si>
  <si>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</si>
  <si>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</si>
  <si>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</si>
  <si>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</si>
  <si>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</si>
  <si>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</si>
  <si>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</si>
  <si>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</si>
  <si>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</si>
  <si>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</si>
  <si>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</si>
  <si>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</si>
  <si>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</si>
  <si>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</si>
  <si>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</si>
  <si>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</si>
  <si>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</si>
  <si>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</si>
  <si>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</si>
  <si>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</si>
  <si>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</si>
  <si>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</si>
  <si>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</si>
  <si>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</si>
  <si>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</si>
  <si>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</si>
  <si>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</si>
  <si>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</si>
  <si>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</si>
  <si>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</si>
  <si>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</si>
  <si>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</si>
  <si>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</si>
  <si>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</si>
  <si>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</si>
  <si>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</si>
  <si>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</si>
  <si>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</si>
  <si>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</si>
  <si>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</si>
  <si>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</si>
  <si>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</si>
  <si>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</si>
  <si>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</si>
  <si>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</si>
  <si>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</si>
  <si>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Estoril AC</t>
  </si>
  <si>
    <t>Torre</t>
  </si>
  <si>
    <t>Real SC</t>
  </si>
  <si>
    <t>ADCEO</t>
  </si>
  <si>
    <t>Maristas</t>
  </si>
  <si>
    <t>S. J. Brito</t>
  </si>
  <si>
    <t>Tires</t>
  </si>
  <si>
    <t>Oeiras</t>
  </si>
  <si>
    <t>Cascais 2</t>
  </si>
  <si>
    <t>Abóboda</t>
  </si>
  <si>
    <t>12h15</t>
  </si>
  <si>
    <t>ESTORIL FOOT 2023</t>
  </si>
  <si>
    <t>SL Benfica</t>
  </si>
  <si>
    <t>Porto Salvo "A"</t>
  </si>
  <si>
    <t>Alcoitão "B"</t>
  </si>
  <si>
    <t>Alcoitão "A"</t>
  </si>
  <si>
    <t>Porto Salvo "B"</t>
  </si>
  <si>
    <t>Cascais 1</t>
  </si>
  <si>
    <t>Tires 1</t>
  </si>
  <si>
    <t>Trajouce 1</t>
  </si>
  <si>
    <t xml:space="preserve"> Trajouce 1</t>
  </si>
  <si>
    <t>Campeão Silver Cup D2 :</t>
  </si>
  <si>
    <t>Campeão Golden Cup D2 :</t>
  </si>
  <si>
    <t>GP 3 - 2</t>
  </si>
  <si>
    <t>GP 3 - 4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</si>
</sst>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20" fontId="3" fillId="9" borderId="37" xfId="0" applyNumberFormat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"D2"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199" t="s">
        <v>91</v>
      </c>
      <c r="C1" s="200"/>
      <c r="D1" s="200"/>
      <c r="E1" s="200"/>
      <c r="F1" s="200"/>
      <c r="G1" s="200"/>
      <c r="H1" s="200"/>
      <c r="I1" s="200"/>
      <c r="J1" s="201"/>
    </row>
    <row r="2" spans="2:116" ht="18" customHeight="1" x14ac:dyDescent="0.3">
      <c r="B2" s="199"/>
      <c r="C2" s="200"/>
      <c r="D2" s="200"/>
      <c r="E2" s="200"/>
      <c r="F2" s="200"/>
      <c r="G2" s="200"/>
      <c r="H2" s="200"/>
      <c r="I2" s="200"/>
      <c r="J2" s="201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2"/>
      <c r="C3" s="203"/>
      <c r="D3" s="203"/>
      <c r="E3" s="203"/>
      <c r="F3" s="203"/>
      <c r="G3" s="203"/>
      <c r="H3" s="203"/>
      <c r="I3" s="203"/>
      <c r="J3" s="204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1" t="s">
        <v>74</v>
      </c>
      <c r="C4" s="212"/>
      <c r="D4" s="212"/>
      <c r="E4" s="212"/>
      <c r="F4" s="212"/>
      <c r="G4" s="212"/>
      <c r="H4" s="212"/>
      <c r="I4" s="212"/>
      <c r="J4" s="213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45096</v>
      </c>
      <c r="D6" s="81">
        <v>0.70833333333333337</v>
      </c>
      <c r="E6" s="144" t="str">
        <f>X13</f>
        <v>SL Benfica</v>
      </c>
      <c r="F6" s="165">
        <v>11</v>
      </c>
      <c r="G6" s="165">
        <v>0</v>
      </c>
      <c r="H6" s="145" t="str">
        <f>Y13</f>
        <v>Tires</v>
      </c>
      <c r="I6" s="169" t="s">
        <v>64</v>
      </c>
      <c r="J6" s="82" t="s">
        <v>8</v>
      </c>
      <c r="K6" s="6" t="str">
        <f t="shared" ref="K6:K13" si="0">IF(F6&lt;&gt;"",IF(F6&gt;G6,E6,IF(G6&gt;F6,H6,"Empate")),"")</f>
        <v>SL Benfica</v>
      </c>
      <c r="L6" s="6" t="str">
        <f t="shared" ref="L6:L13" si="1">IF(F6&lt;&gt;"",IF(F6&lt;G6,E6,IF(G6&lt;F6,H6,"Empate")),"")</f>
        <v>Tires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45096</v>
      </c>
      <c r="D7" s="84">
        <v>0.70833333333333337</v>
      </c>
      <c r="E7" s="146" t="str">
        <f>Z13</f>
        <v>Estoril AC</v>
      </c>
      <c r="F7" s="166">
        <v>1</v>
      </c>
      <c r="G7" s="166">
        <v>2</v>
      </c>
      <c r="H7" s="147" t="str">
        <f>AA13</f>
        <v>Porto Salvo "A"</v>
      </c>
      <c r="I7" s="170" t="s">
        <v>65</v>
      </c>
      <c r="J7" s="85" t="s">
        <v>8</v>
      </c>
      <c r="K7" s="6" t="str">
        <f t="shared" si="0"/>
        <v>Porto Salvo "A"</v>
      </c>
      <c r="L7" s="6" t="str">
        <f t="shared" si="1"/>
        <v>Estoril AC</v>
      </c>
      <c r="N7" s="154" t="str">
        <f>DD8</f>
        <v>SL Benfica</v>
      </c>
      <c r="O7" s="135">
        <f t="shared" ref="N7:V10" si="2">DE8</f>
        <v>3</v>
      </c>
      <c r="P7" s="136">
        <f t="shared" si="2"/>
        <v>3</v>
      </c>
      <c r="Q7" s="136">
        <f t="shared" si="2"/>
        <v>0</v>
      </c>
      <c r="R7" s="136">
        <f t="shared" si="2"/>
        <v>0</v>
      </c>
      <c r="S7" s="136">
        <f t="shared" si="2"/>
        <v>22</v>
      </c>
      <c r="T7" s="136">
        <f t="shared" si="2"/>
        <v>4</v>
      </c>
      <c r="U7" s="136">
        <f t="shared" si="2"/>
        <v>18</v>
      </c>
      <c r="V7" s="137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45096</v>
      </c>
      <c r="D8" s="87">
        <v>0.70833333333333337</v>
      </c>
      <c r="E8" s="148" t="str">
        <f>Z20</f>
        <v>Carcavelos</v>
      </c>
      <c r="F8" s="166">
        <v>2</v>
      </c>
      <c r="G8" s="166">
        <v>0</v>
      </c>
      <c r="H8" s="149" t="str">
        <f>AA20</f>
        <v>Alcoitão "B"</v>
      </c>
      <c r="I8" s="171" t="s">
        <v>88</v>
      </c>
      <c r="J8" s="88" t="s">
        <v>9</v>
      </c>
      <c r="K8" s="6" t="str">
        <f t="shared" si="0"/>
        <v>Carcavelos</v>
      </c>
      <c r="L8" s="6" t="str">
        <f t="shared" si="1"/>
        <v>Alcoitão "B"</v>
      </c>
      <c r="N8" s="155" t="str">
        <f t="shared" si="2"/>
        <v>Porto Salvo "A"</v>
      </c>
      <c r="O8" s="138">
        <f t="shared" si="2"/>
        <v>3</v>
      </c>
      <c r="P8" s="139">
        <f t="shared" si="2"/>
        <v>2</v>
      </c>
      <c r="Q8" s="139">
        <f t="shared" si="2"/>
        <v>0</v>
      </c>
      <c r="R8" s="139">
        <f t="shared" si="2"/>
        <v>1</v>
      </c>
      <c r="S8" s="139">
        <f t="shared" si="2"/>
        <v>8</v>
      </c>
      <c r="T8" s="139">
        <f>DJ9</f>
        <v>12</v>
      </c>
      <c r="U8" s="139">
        <f t="shared" si="2"/>
        <v>-4</v>
      </c>
      <c r="V8" s="140">
        <f t="shared" si="2"/>
        <v>6</v>
      </c>
      <c r="X8" s="14" t="s">
        <v>92</v>
      </c>
      <c r="Y8" s="15">
        <f>DCOUNT($E$5:$F$29,$F$5,$X12:$X13)+DCOUNT($G$5:$H$29,$G$5,$X12:$X13)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DSUM($E$5:$F$29,$F$5,$X12:$X13)+DSUM($G$5:$H$29,$G$5,$X12:$X13)</f>
        <v>22</v>
      </c>
      <c r="AD8" s="15">
        <f>DSUM($E$5:$G$29,$G$5,$X12:$X13)+DSUM($F$5:$H$29,$F$5,$X12:$X13)</f>
        <v>4</v>
      </c>
      <c r="AE8" s="15">
        <f>AC8-AD8</f>
        <v>18</v>
      </c>
      <c r="AF8" s="16">
        <f>Z8*3+AA8*1</f>
        <v>9</v>
      </c>
      <c r="AH8" s="17" t="str">
        <f>X8</f>
        <v>SL Benfica</v>
      </c>
      <c r="AI8" s="18">
        <f>AF8</f>
        <v>9</v>
      </c>
      <c r="AJ8" s="19" t="str">
        <f>IF(AI8&gt;=AI9,AH8,AH9)</f>
        <v>SL Benfica</v>
      </c>
      <c r="AK8" s="18">
        <f>VLOOKUP(AJ8,X8:AF11,9,FALSE)</f>
        <v>9</v>
      </c>
      <c r="AL8" s="19" t="str">
        <f>IF(AK8&gt;=AK10,AJ8,AJ10)</f>
        <v>SL Benfica</v>
      </c>
      <c r="AM8" s="18">
        <f>VLOOKUP(AL8,X8:AF11,9,FALSE)</f>
        <v>9</v>
      </c>
      <c r="AN8" s="19" t="str">
        <f>IF(AM8&gt;=AM11,AL8,AL11)</f>
        <v>SL Benfica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9</v>
      </c>
      <c r="AX8" s="18">
        <f>VLOOKUP(AV8,X8:AF11,8,FALSE)</f>
        <v>18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SL Benfica</v>
      </c>
      <c r="BI8" s="13" t="str">
        <f>BG8</f>
        <v>SL Benfica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22</v>
      </c>
      <c r="BO8" s="27">
        <f>VLOOKUP(BI8,X8:AF11,7,FALSE)</f>
        <v>4</v>
      </c>
      <c r="BP8" s="27">
        <f>VLOOKUP(BI8,X8:AF11,8,FALSE)</f>
        <v>18</v>
      </c>
      <c r="BQ8" s="27">
        <f>VLOOKUP(BI8,X8:AF11,9,FALSE)</f>
        <v>9</v>
      </c>
      <c r="BR8" s="1" t="str">
        <f>BI8</f>
        <v>SL Benfica</v>
      </c>
      <c r="BS8" s="1">
        <f>VLOOKUP(BR8,BI8:BQ11,9,FALSE)</f>
        <v>9</v>
      </c>
      <c r="BT8" s="1">
        <f>VLOOKUP(BR8,BI8:BQ11,8,FALSE)</f>
        <v>18</v>
      </c>
      <c r="BU8" s="28" t="str">
        <f>IF(AND(BS8=BS9,BT9&gt;BT8),BR9,BR8)</f>
        <v>SL Benfica</v>
      </c>
      <c r="BV8" s="29">
        <f>VLOOKUP(BU8,BI8:BQ11,9,FALSE)</f>
        <v>9</v>
      </c>
      <c r="BW8" s="29">
        <f>VLOOKUP(BU8,BI8:BQ11,8,FALSE)</f>
        <v>18</v>
      </c>
      <c r="BX8" s="28" t="str">
        <f>IF(AND(BV8=BV10,BW10&gt;BW8),BU10,BU8)</f>
        <v>SL Benfica</v>
      </c>
      <c r="BY8" s="1">
        <f>VLOOKUP(BX8,BI8:BQ11,9,FALSE)</f>
        <v>9</v>
      </c>
      <c r="BZ8" s="12">
        <f>VLOOKUP(BX8,BI8:BQ11,8,FALSE)</f>
        <v>18</v>
      </c>
      <c r="CA8" s="30" t="str">
        <f>IF(AND(BY8=BY11,BZ11&gt;BZ8),BX11,BX8)</f>
        <v>SL Benfica</v>
      </c>
      <c r="CB8" s="1">
        <f>VLOOKUP(CA8,BI8:BQ11,9,FALSE)</f>
        <v>9</v>
      </c>
      <c r="CC8" s="1">
        <f>VLOOKUP(CA8,BI8:BQ11,8,FALSE)</f>
        <v>18</v>
      </c>
      <c r="CD8" s="12">
        <f>VLOOKUP(CA8,BI8:BQ11,6,FALSE)</f>
        <v>22</v>
      </c>
      <c r="CE8" s="28" t="str">
        <f>IF(AND(CB8=CB9,CC8=CC9,CD9&gt;CD8),CA9,CA8)</f>
        <v>SL Benfica</v>
      </c>
      <c r="CF8" s="1">
        <f>VLOOKUP(CE8,BI8:BQ11,9,FALSE)</f>
        <v>9</v>
      </c>
      <c r="CG8" s="1">
        <f>VLOOKUP(CE8,BI8:BQ11,8,FALSE)</f>
        <v>18</v>
      </c>
      <c r="CH8" s="1">
        <f>VLOOKUP(CE8,BI8:BQ11,6,FALSE)</f>
        <v>22</v>
      </c>
      <c r="CI8" s="28" t="str">
        <f>IF(AND(CF8=CF10,CG8=CG10,CH10&gt;CH8),CE10,CE8)</f>
        <v>SL Benfica</v>
      </c>
      <c r="CJ8" s="1">
        <f>VLOOKUP(CI8,BI8:BQ11,9,FALSE)</f>
        <v>9</v>
      </c>
      <c r="CK8" s="1">
        <f>VLOOKUP(CI8,BI8:BQ11,8,FALSE)</f>
        <v>18</v>
      </c>
      <c r="CL8" s="1">
        <f>VLOOKUP(CI8,BI8:BQ11,6,FALSE)</f>
        <v>22</v>
      </c>
      <c r="CM8" s="28" t="str">
        <f>IF(AND(CJ8=CJ11,CK8=CK11,CL11&gt;CL8),CI11,CI8)</f>
        <v>SL Benfica</v>
      </c>
      <c r="CN8" s="1">
        <f>VLOOKUP(CM8,BI8:BQ11,9,FALSE)</f>
        <v>9</v>
      </c>
      <c r="CO8" s="1">
        <f>VLOOKUP(CM8,BI8:BQ11,8,FALSE)</f>
        <v>18</v>
      </c>
      <c r="CP8" s="1">
        <f>VLOOKUP(CM8,BI8:BQ11,6,FALSE)</f>
        <v>22</v>
      </c>
      <c r="CQ8" s="13" t="str">
        <f>CM8</f>
        <v>SL Benfica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22</v>
      </c>
      <c r="CW8" s="27">
        <f>VLOOKUP(CQ8,$X$8:$AF$11,7,FALSE)</f>
        <v>4</v>
      </c>
      <c r="CX8" s="27">
        <f>VLOOKUP(CQ8,$X$8:$AF$11,8,FALSE)</f>
        <v>18</v>
      </c>
      <c r="CY8" s="27">
        <f>VLOOKUP(CQ8,$X$8:$AF$11,9,FALSE)</f>
        <v>9</v>
      </c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Tires</v>
      </c>
      <c r="DD8" s="1" t="str">
        <f>IF(AND(CR9=CR8,CY9=CY8,DA9=CM9,DB9=CM8),DA9,CM8)</f>
        <v>SL Benfica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22</v>
      </c>
      <c r="DJ8" s="27">
        <f>VLOOKUP(DD8,$X$8:$AF$11,7,FALSE)</f>
        <v>4</v>
      </c>
      <c r="DK8" s="27">
        <f>VLOOKUP(DD8,$X$8:$AF$11,8,FALSE)</f>
        <v>18</v>
      </c>
      <c r="DL8" s="27">
        <f>VLOOKUP(DD8,$X$8:$AF$11,9,FALSE)</f>
        <v>9</v>
      </c>
    </row>
    <row r="9" spans="2:116" ht="22.5" customHeight="1" x14ac:dyDescent="0.3">
      <c r="B9" s="96">
        <v>4</v>
      </c>
      <c r="C9" s="86">
        <v>45096</v>
      </c>
      <c r="D9" s="87">
        <v>0.70833333333333337</v>
      </c>
      <c r="E9" s="148" t="str">
        <f>X20</f>
        <v>Real SC</v>
      </c>
      <c r="F9" s="166">
        <v>7</v>
      </c>
      <c r="G9" s="166">
        <v>0</v>
      </c>
      <c r="H9" s="149" t="str">
        <f>Y20</f>
        <v>Trajouce</v>
      </c>
      <c r="I9" s="171" t="s">
        <v>97</v>
      </c>
      <c r="J9" s="88" t="s">
        <v>9</v>
      </c>
      <c r="K9" s="6" t="str">
        <f t="shared" si="0"/>
        <v>Real SC</v>
      </c>
      <c r="L9" s="6" t="str">
        <f t="shared" si="1"/>
        <v>Trajouce</v>
      </c>
      <c r="N9" s="155" t="str">
        <f t="shared" si="2"/>
        <v>Estoril AC</v>
      </c>
      <c r="O9" s="138">
        <f t="shared" si="2"/>
        <v>3</v>
      </c>
      <c r="P9" s="139">
        <f t="shared" si="2"/>
        <v>1</v>
      </c>
      <c r="Q9" s="139">
        <f t="shared" si="2"/>
        <v>0</v>
      </c>
      <c r="R9" s="139">
        <f t="shared" si="2"/>
        <v>2</v>
      </c>
      <c r="S9" s="139">
        <f t="shared" si="2"/>
        <v>7</v>
      </c>
      <c r="T9" s="139">
        <f t="shared" si="2"/>
        <v>5</v>
      </c>
      <c r="U9" s="139">
        <f t="shared" si="2"/>
        <v>2</v>
      </c>
      <c r="V9" s="140">
        <f t="shared" si="2"/>
        <v>3</v>
      </c>
      <c r="X9" s="14" t="s">
        <v>86</v>
      </c>
      <c r="Y9" s="15">
        <f>DCOUNT($E$5:$F$29,$F$5,$Y12:$Y13)+DCOUNT($G$5:$H$29,$G$5,$Y12:$Y13)</f>
        <v>3</v>
      </c>
      <c r="Z9" s="15">
        <f>COUNTIF($K$6:$K$35,Y13)</f>
        <v>0</v>
      </c>
      <c r="AA9" s="15">
        <f>Y9-Z9-AB9</f>
        <v>0</v>
      </c>
      <c r="AB9" s="15">
        <f>COUNTIF($L$6:$L$35,Y13)</f>
        <v>3</v>
      </c>
      <c r="AC9" s="15">
        <f>DSUM($E$5:$F$29,$F$5,$Y12:$Y13)+DSUM($G$5:$H$29,$G$5,$Y12:$Y13)</f>
        <v>3</v>
      </c>
      <c r="AD9" s="15">
        <f>DSUM($E$5:$G$29,$G$5,$Y12:$Y13)+DSUM($F$5:$H$29,$F$5,$Y12:$Y13)</f>
        <v>19</v>
      </c>
      <c r="AE9" s="15">
        <f>AC9-AD9</f>
        <v>-16</v>
      </c>
      <c r="AF9" s="16">
        <f>Z9*3+AA9*1</f>
        <v>0</v>
      </c>
      <c r="AH9" s="31" t="str">
        <f>X9</f>
        <v>Tires</v>
      </c>
      <c r="AI9" s="32">
        <f>AF9</f>
        <v>0</v>
      </c>
      <c r="AJ9" s="30" t="str">
        <f>IF(AI9&lt;=AI8,AH9,AH8)</f>
        <v>Tires</v>
      </c>
      <c r="AK9" s="32">
        <f>VLOOKUP(AJ9,X8:AF11,9,FALSE)</f>
        <v>0</v>
      </c>
      <c r="AL9" s="10" t="str">
        <f>AJ9</f>
        <v>Tires</v>
      </c>
      <c r="AM9" s="32">
        <f>VLOOKUP(AL9,X8:AF11,9,FALSE)</f>
        <v>0</v>
      </c>
      <c r="AN9" s="10" t="str">
        <f>AL9</f>
        <v>Tires</v>
      </c>
      <c r="AO9" s="32">
        <f>VLOOKUP(AN9,X8:AF11,9,FALSE)</f>
        <v>0</v>
      </c>
      <c r="AP9" s="30" t="str">
        <f>IF(AO9&gt;=AO10,AN9,AN10)</f>
        <v>Estoril AC</v>
      </c>
      <c r="AQ9" s="32">
        <f>VLOOKUP(AP9,X8:AF11,9,FALSE)</f>
        <v>3</v>
      </c>
      <c r="AR9" s="30" t="str">
        <f>IF(AQ9&gt;=AQ11,AP9,AP11)</f>
        <v>Porto Salvo "A"</v>
      </c>
      <c r="AS9" s="32">
        <f>VLOOKUP(AR9,X8:AF11,9,FALSE)</f>
        <v>6</v>
      </c>
      <c r="AU9" s="33"/>
      <c r="AV9" s="34" t="str">
        <f>AR9</f>
        <v>Porto Salvo "A"</v>
      </c>
      <c r="AW9" s="35">
        <f>AS9</f>
        <v>6</v>
      </c>
      <c r="AX9" s="32">
        <f>VLOOKUP(AV9,X8:AF11,8,FALSE)</f>
        <v>-4</v>
      </c>
      <c r="AY9" s="30" t="str">
        <f>IF(AND(AW8=AW9,AX9&gt;AX8),AV8,AV9)</f>
        <v>Porto Salvo "A"</v>
      </c>
      <c r="AZ9" s="32">
        <f>VLOOKUP(AY9,X8:AF11,9,FALSE)</f>
        <v>6</v>
      </c>
      <c r="BA9" s="32">
        <f>VLOOKUP(AY9,X8:AF11,8,FALSE)</f>
        <v>-4</v>
      </c>
      <c r="BB9" s="30" t="str">
        <f>IF(AND(AZ9=AZ10,BA10&gt;BA9),AY10,AY9)</f>
        <v>Porto Salvo "A"</v>
      </c>
      <c r="BC9" s="32"/>
      <c r="BD9" s="32"/>
      <c r="BF9" s="36">
        <f>AZ9</f>
        <v>6</v>
      </c>
      <c r="BG9" s="37" t="str">
        <f>BB9</f>
        <v>Porto Salvo "A"</v>
      </c>
      <c r="BI9" s="13" t="str">
        <f>BG9</f>
        <v>Porto Salvo "A"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8</v>
      </c>
      <c r="BO9" s="27">
        <f>VLOOKUP(BI9,X8:AF11,7,FALSE)</f>
        <v>12</v>
      </c>
      <c r="BP9" s="27">
        <f>VLOOKUP(BI9,X8:AF11,8,FALSE)</f>
        <v>-4</v>
      </c>
      <c r="BQ9" s="27">
        <f>VLOOKUP(BI9,X8:AF11,9,FALSE)</f>
        <v>6</v>
      </c>
      <c r="BR9" s="1" t="str">
        <f>BI9</f>
        <v>Porto Salvo "A"</v>
      </c>
      <c r="BS9" s="1">
        <f>VLOOKUP(BR9,BI8:BQ11,9,FALSE)</f>
        <v>6</v>
      </c>
      <c r="BT9" s="1">
        <f>VLOOKUP(BR9,BI8:BQ11,8,FALSE)</f>
        <v>-4</v>
      </c>
      <c r="BU9" s="28" t="str">
        <f>IF(AND(BS8=BS9,BT9&gt;BT8),BR8,BR9)</f>
        <v>Porto Salvo "A"</v>
      </c>
      <c r="BV9" s="29">
        <f>VLOOKUP(BU9,BI8:BQ11,9,FALSE)</f>
        <v>6</v>
      </c>
      <c r="BW9" s="29">
        <f>VLOOKUP(BU9,BI8:BQ11,8,FALSE)</f>
        <v>-4</v>
      </c>
      <c r="BX9" s="29" t="str">
        <f>IF(AND(BV9=BV11,BW11&gt;BW9),BU11,BU9)</f>
        <v>Porto Salvo "A"</v>
      </c>
      <c r="BY9" s="1">
        <f>VLOOKUP(BX9,BI8:BQ11,9,FALSE)</f>
        <v>6</v>
      </c>
      <c r="BZ9" s="12">
        <f>VLOOKUP(BX9,BI8:BQ11,8,FALSE)</f>
        <v>-4</v>
      </c>
      <c r="CA9" s="1" t="str">
        <f>IF(AND(BY9=BY10,BZ10&gt;BZ9),BX10,BX9)</f>
        <v>Porto Salvo "A"</v>
      </c>
      <c r="CB9" s="1">
        <f>VLOOKUP(CA9,BI8:BQ11,9,FALSE)</f>
        <v>6</v>
      </c>
      <c r="CC9" s="1">
        <f>VLOOKUP(CA9,BI8:BQ11,8,FALSE)</f>
        <v>-4</v>
      </c>
      <c r="CD9" s="12">
        <f>VLOOKUP(CA9,BI8:BQ11,6,FALSE)</f>
        <v>8</v>
      </c>
      <c r="CE9" s="28" t="str">
        <f>IF(AND(CB8=CB9,CC8=CC9,CD9&gt;CD8),CA8,CA9)</f>
        <v>Porto Salvo "A"</v>
      </c>
      <c r="CF9" s="1">
        <f>VLOOKUP(CE9,BI8:BQ11,9,FALSE)</f>
        <v>6</v>
      </c>
      <c r="CG9" s="1">
        <f>VLOOKUP(CE9,BI8:BQ11,8,FALSE)</f>
        <v>-4</v>
      </c>
      <c r="CH9" s="1">
        <f>VLOOKUP(CE9,BI8:BQ11,6,FALSE)</f>
        <v>8</v>
      </c>
      <c r="CI9" s="29" t="str">
        <f>IF(AND(CF9=CF11,CG9=CG11,CH11&gt;CH9),CE11,CE9)</f>
        <v>Porto Salvo "A"</v>
      </c>
      <c r="CJ9" s="1">
        <f>VLOOKUP(CI9,BI8:BQ11,9,FALSE)</f>
        <v>6</v>
      </c>
      <c r="CK9" s="1">
        <f>VLOOKUP(CI9,BI8:BQ11,8,FALSE)</f>
        <v>-4</v>
      </c>
      <c r="CL9" s="1">
        <f>VLOOKUP(CI9,BI8:BQ11,6,FALSE)</f>
        <v>8</v>
      </c>
      <c r="CM9" s="29" t="str">
        <f>IF(AND(CJ9=CJ10,CK9=CK10,CL10&gt;CL9),CI10,CI9)</f>
        <v>Porto Salvo "A"</v>
      </c>
      <c r="CN9" s="1">
        <f>VLOOKUP(CM9,BI8:BQ11,9,FALSE)</f>
        <v>6</v>
      </c>
      <c r="CO9" s="1">
        <f>VLOOKUP(CM9,BI8:BQ11,8,FALSE)</f>
        <v>-4</v>
      </c>
      <c r="CP9" s="1">
        <f>VLOOKUP(CM9,BI8:BQ11,6,FALSE)</f>
        <v>8</v>
      </c>
      <c r="CQ9" s="13" t="str">
        <f>CM9</f>
        <v>Porto Salvo "A"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8</v>
      </c>
      <c r="CW9" s="27">
        <f>VLOOKUP(CQ9,$X$8:$AF$11,7,FALSE)</f>
        <v>12</v>
      </c>
      <c r="CX9" s="27">
        <f>VLOOKUP(CQ9,$X$8:$AF$11,8,FALSE)</f>
        <v>-4</v>
      </c>
      <c r="CY9" s="27">
        <f>VLOOKUP(CQ9,$X$8:$AF$11,9,FALSE)</f>
        <v>6</v>
      </c>
      <c r="DA9" s="1" t="str">
        <f>IF(ISNA(VLOOKUP(CQ9,K$6:L$25,1,FALSE))=TRUE,CM11,VLOOKUP(CQ9,K$6:L$25,1,FALSE))</f>
        <v>Porto Salvo "A"</v>
      </c>
      <c r="DB9" s="1" t="str">
        <f>IF(ISNA(VLOOKUP(CQ9,K$6:L$25,2,FALSE))=TRUE,CM11,VLOOKUP(CQ9,K$6:L$25,2,FALSE))</f>
        <v>Estoril AC</v>
      </c>
      <c r="DD9" s="1" t="str">
        <f>IF(DD8=CM9,CM8,IF(AND(CR10=CR9,CY10=CY9,DA10=CM10,DB10=CM9),DA10,CM9))</f>
        <v>Porto Salvo "A"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8</v>
      </c>
      <c r="DJ9" s="27">
        <f>VLOOKUP(DD9,$X$8:$AF$11,7,FALSE)</f>
        <v>12</v>
      </c>
      <c r="DK9" s="27">
        <f>VLOOKUP(DD9,$X$8:$AF$11,8,FALSE)</f>
        <v>-4</v>
      </c>
      <c r="DL9" s="27">
        <f>VLOOKUP(DD9,$X$8:$AF$11,9,FALSE)</f>
        <v>6</v>
      </c>
    </row>
    <row r="10" spans="2:116" ht="22.5" customHeight="1" x14ac:dyDescent="0.3">
      <c r="B10" s="96">
        <v>5</v>
      </c>
      <c r="C10" s="89">
        <v>45096</v>
      </c>
      <c r="D10" s="90">
        <v>0.70833333333333337</v>
      </c>
      <c r="E10" s="150" t="str">
        <f>X27</f>
        <v>Oeiras</v>
      </c>
      <c r="F10" s="166">
        <v>3</v>
      </c>
      <c r="G10" s="166">
        <v>0</v>
      </c>
      <c r="H10" s="151" t="str">
        <f>Y27</f>
        <v>Maristas</v>
      </c>
      <c r="I10" s="172" t="s">
        <v>66</v>
      </c>
      <c r="J10" s="91" t="s">
        <v>10</v>
      </c>
      <c r="K10" s="6" t="str">
        <f>IF(F10&lt;&gt;"",IF(F10&gt;G10,E10,IF(G10&gt;F10,H10,"Empate")),"")</f>
        <v>Oeiras</v>
      </c>
      <c r="L10" s="6" t="str">
        <f>IF(F10&lt;&gt;"",IF(F10&lt;G10,E10,IF(G10&lt;F10,H10,"Empate")),"")</f>
        <v>Maristas</v>
      </c>
      <c r="N10" s="168" t="str">
        <f t="shared" si="2"/>
        <v>Tires</v>
      </c>
      <c r="O10" s="141">
        <f t="shared" si="2"/>
        <v>3</v>
      </c>
      <c r="P10" s="142">
        <f t="shared" si="2"/>
        <v>0</v>
      </c>
      <c r="Q10" s="142">
        <f t="shared" si="2"/>
        <v>0</v>
      </c>
      <c r="R10" s="142">
        <f t="shared" si="2"/>
        <v>3</v>
      </c>
      <c r="S10" s="142">
        <f t="shared" si="2"/>
        <v>3</v>
      </c>
      <c r="T10" s="142">
        <f t="shared" si="2"/>
        <v>19</v>
      </c>
      <c r="U10" s="142">
        <f t="shared" si="2"/>
        <v>-16</v>
      </c>
      <c r="V10" s="143">
        <f t="shared" si="2"/>
        <v>0</v>
      </c>
      <c r="X10" s="14" t="s">
        <v>80</v>
      </c>
      <c r="Y10" s="15">
        <f>DCOUNT($E$5:$F$29,$F$5,$Z12:$Z13)+DCOUNT($G$5:$H$29,$G$5,$Z12:$Z13)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DSUM($E$5:$F$29,$F$5,$Z12:$Z13)+DSUM($G$5:$H$29,$G$5,$Z12:$Z13)</f>
        <v>7</v>
      </c>
      <c r="AD10" s="15">
        <f>DSUM($E$5:$G$29,$G$5,$Z12:$Z13)+DSUM($F$5:$H$29,$F$5,$Z12:$Z13)</f>
        <v>5</v>
      </c>
      <c r="AE10" s="15">
        <f>AC10-AD10</f>
        <v>2</v>
      </c>
      <c r="AF10" s="16">
        <f>Z10*3+AA10*1</f>
        <v>3</v>
      </c>
      <c r="AH10" s="31" t="str">
        <f>X10</f>
        <v>Estoril AC</v>
      </c>
      <c r="AI10" s="32">
        <f>AF10</f>
        <v>3</v>
      </c>
      <c r="AJ10" s="10" t="str">
        <f>AH10</f>
        <v>Estoril AC</v>
      </c>
      <c r="AK10" s="32">
        <f>VLOOKUP(AJ10,X8:AF11,9,FALSE)</f>
        <v>3</v>
      </c>
      <c r="AL10" s="30" t="str">
        <f>IF(AK10&lt;=AK8,AJ10,AJ8)</f>
        <v>Estoril AC</v>
      </c>
      <c r="AM10" s="32">
        <f>VLOOKUP(AL10,X8:AF11,9,FALSE)</f>
        <v>3</v>
      </c>
      <c r="AN10" s="10" t="str">
        <f>AL10</f>
        <v>Estoril AC</v>
      </c>
      <c r="AO10" s="32">
        <f>VLOOKUP(AN10,X8:AF11,9,FALSE)</f>
        <v>3</v>
      </c>
      <c r="AP10" s="30" t="str">
        <f>IF(AO10&lt;=AO9,AN10,AN9)</f>
        <v>Tires</v>
      </c>
      <c r="AQ10" s="32">
        <f>VLOOKUP(AP10,X8:AF11,9,FALSE)</f>
        <v>0</v>
      </c>
      <c r="AR10" s="10" t="str">
        <f>AP10</f>
        <v>Tires</v>
      </c>
      <c r="AS10" s="32">
        <f>VLOOKUP(AR10,X8:AF11,9,FALSE)</f>
        <v>0</v>
      </c>
      <c r="AT10" s="30" t="str">
        <f>IF(AS10&gt;=AS11,AR10,AR11)</f>
        <v>Estoril AC</v>
      </c>
      <c r="AU10" s="38">
        <f>VLOOKUP(AT10,X8:AF11,9,FALSE)</f>
        <v>3</v>
      </c>
      <c r="AV10" s="34" t="str">
        <f>AT10</f>
        <v>Estoril AC</v>
      </c>
      <c r="AW10" s="35">
        <f>AU10</f>
        <v>3</v>
      </c>
      <c r="AX10" s="32">
        <f>VLOOKUP(AV10,X8:AF11,8,FALSE)</f>
        <v>2</v>
      </c>
      <c r="AY10" s="10" t="str">
        <f>AV10</f>
        <v>Estoril AC</v>
      </c>
      <c r="AZ10" s="32">
        <f>VLOOKUP(AY10,X8:AF11,9,FALSE)</f>
        <v>3</v>
      </c>
      <c r="BA10" s="32">
        <f>VLOOKUP(AY10,X8:AF11,8,FALSE)</f>
        <v>2</v>
      </c>
      <c r="BB10" s="30" t="str">
        <f>IF(AND(AZ9=AZ10,BA10&gt;BA9),AY9,AY10)</f>
        <v>Estoril AC</v>
      </c>
      <c r="BC10" s="32">
        <f>VLOOKUP(BB10,X8:AF11,9,FALSE)</f>
        <v>3</v>
      </c>
      <c r="BD10" s="32">
        <f>VLOOKUP(BB10,X8:AF11,8,FALSE)</f>
        <v>2</v>
      </c>
      <c r="BE10" s="30" t="str">
        <f>IF(AND(BC10=BC11,BD11&gt;BD10),BB11,BB10)</f>
        <v>Estoril AC</v>
      </c>
      <c r="BF10" s="36">
        <f>BC10</f>
        <v>3</v>
      </c>
      <c r="BG10" s="37" t="str">
        <f>BE10</f>
        <v>Estoril AC</v>
      </c>
      <c r="BI10" s="13" t="str">
        <f>BG10</f>
        <v>Estoril AC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7</v>
      </c>
      <c r="BO10" s="27">
        <f>VLOOKUP(BI10,X8:AF11,7,FALSE)</f>
        <v>5</v>
      </c>
      <c r="BP10" s="27">
        <f>VLOOKUP(BI10,X8:AF11,8,FALSE)</f>
        <v>2</v>
      </c>
      <c r="BQ10" s="27">
        <f>VLOOKUP(BI10,X8:AF11,9,FALSE)</f>
        <v>3</v>
      </c>
      <c r="BR10" s="1" t="str">
        <f>BI10</f>
        <v>Estoril AC</v>
      </c>
      <c r="BS10" s="1">
        <f>VLOOKUP(BR10,BI8:BQ11,9,FALSE)</f>
        <v>3</v>
      </c>
      <c r="BT10" s="1">
        <f>VLOOKUP(BR10,BI8:BQ11,8,FALSE)</f>
        <v>2</v>
      </c>
      <c r="BU10" s="29" t="str">
        <f>IF(AND(BS10=BS11,BT11&gt;BT10),BR11,BR10)</f>
        <v>Estoril AC</v>
      </c>
      <c r="BV10" s="29">
        <f>VLOOKUP(BU10,BI8:BQ11,9,FALSE)</f>
        <v>3</v>
      </c>
      <c r="BW10" s="29">
        <f>VLOOKUP(BU10,BI8:BQ11,8,FALSE)</f>
        <v>2</v>
      </c>
      <c r="BX10" s="28" t="str">
        <f>IF(AND(BV8=BV10,BW10&gt;BW8),BU8,BU10)</f>
        <v>Estoril AC</v>
      </c>
      <c r="BY10" s="1">
        <f>VLOOKUP(BX10,BI8:BQ11,9,FALSE)</f>
        <v>3</v>
      </c>
      <c r="BZ10" s="12">
        <f>VLOOKUP(BX10,BI8:BQ11,8,FALSE)</f>
        <v>2</v>
      </c>
      <c r="CA10" s="1" t="str">
        <f>IF(AND(BY9=BY10,BZ10&gt;BZ9),BX9,BX10)</f>
        <v>Estoril AC</v>
      </c>
      <c r="CB10" s="1">
        <f>VLOOKUP(CA10,BI8:BQ11,9,FALSE)</f>
        <v>3</v>
      </c>
      <c r="CC10" s="1">
        <f>VLOOKUP(CA10,BI8:BQ11,8,FALSE)</f>
        <v>2</v>
      </c>
      <c r="CD10" s="12">
        <f>VLOOKUP(CA10,BI8:BQ11,6,FALSE)</f>
        <v>7</v>
      </c>
      <c r="CE10" s="29" t="str">
        <f>IF(AND(CB10=CB11,CC10=CC11,CD11&gt;CD10),CA11,CA10)</f>
        <v>Estoril AC</v>
      </c>
      <c r="CF10" s="1">
        <f>VLOOKUP(CE10,BI8:BQ11,9,FALSE)</f>
        <v>3</v>
      </c>
      <c r="CG10" s="1">
        <f>VLOOKUP(CE10,BI8:BQ11,8,FALSE)</f>
        <v>2</v>
      </c>
      <c r="CH10" s="1">
        <f>VLOOKUP(CE10,BI8:BQ11,6,FALSE)</f>
        <v>7</v>
      </c>
      <c r="CI10" s="28" t="str">
        <f>IF(AND(CF8=CF10,CG8=CG10,CH10&gt;CH8),CE8,CE10)</f>
        <v>Estoril AC</v>
      </c>
      <c r="CJ10" s="1">
        <f>VLOOKUP(CI10,BI8:BQ11,9,FALSE)</f>
        <v>3</v>
      </c>
      <c r="CK10" s="1">
        <f>VLOOKUP(CI10,BI8:BQ11,8,FALSE)</f>
        <v>2</v>
      </c>
      <c r="CL10" s="1">
        <f>VLOOKUP(CI10,BI8:BQ11,6,FALSE)</f>
        <v>7</v>
      </c>
      <c r="CM10" s="29" t="str">
        <f>IF(AND(CJ9=CJ10,CK9=CK10,CL10&gt;CL9),CI9,CI10)</f>
        <v>Estoril AC</v>
      </c>
      <c r="CN10" s="1">
        <f>VLOOKUP(CM10,BI8:BQ11,9,FALSE)</f>
        <v>3</v>
      </c>
      <c r="CO10" s="1">
        <f>VLOOKUP(CM10,BI8:BQ11,8,FALSE)</f>
        <v>2</v>
      </c>
      <c r="CP10" s="1">
        <f>VLOOKUP(CM10,BI8:BQ11,6,FALSE)</f>
        <v>7</v>
      </c>
      <c r="CQ10" s="13" t="str">
        <f>CM10</f>
        <v>Estoril AC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7</v>
      </c>
      <c r="CW10" s="27">
        <f>VLOOKUP(CQ10,$X$8:$AF$11,7,FALSE)</f>
        <v>5</v>
      </c>
      <c r="CX10" s="27">
        <f>VLOOKUP(CQ10,$X$8:$AF$11,8,FALSE)</f>
        <v>2</v>
      </c>
      <c r="CY10" s="27">
        <f>VLOOKUP(CQ10,$X$8:$AF$11,9,FALSE)</f>
        <v>3</v>
      </c>
      <c r="DA10" s="1" t="str">
        <f>IF(ISNA(VLOOKUP(CQ10,K$6:L$25,1,FALSE))=TRUE,CM11,VLOOKUP(CQ10,K$6:L$25,1,FALSE))</f>
        <v>Tires</v>
      </c>
      <c r="DB10" s="1" t="str">
        <f>IF(ISNA(VLOOKUP(CQ10,K$6:L$25,2,FALSE))=TRUE,CM11,VLOOKUP(CQ10,K$6:L$25,2,FALSE))</f>
        <v>Tires</v>
      </c>
      <c r="DD10" s="1" t="str">
        <f>IF(DD9=CM10,CM9,IF(AND(CR11=CR10,CY11=CY10,DA11=CM11,DB11=CM10),DA11,CM10))</f>
        <v>Estoril AC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7</v>
      </c>
      <c r="DJ10" s="27">
        <f>VLOOKUP(DD10,$X$8:$AF$11,7,FALSE)</f>
        <v>5</v>
      </c>
      <c r="DK10" s="27">
        <f>VLOOKUP(DD10,$X$8:$AF$11,8,FALSE)</f>
        <v>2</v>
      </c>
      <c r="DL10" s="27">
        <f>VLOOKUP(DD10,$X$8:$AF$11,9,FALSE)</f>
        <v>3</v>
      </c>
    </row>
    <row r="11" spans="2:116" ht="22.5" customHeight="1" x14ac:dyDescent="0.3">
      <c r="B11" s="96">
        <v>6</v>
      </c>
      <c r="C11" s="89">
        <v>45096</v>
      </c>
      <c r="D11" s="90">
        <v>0.70833333333333337</v>
      </c>
      <c r="E11" s="150" t="str">
        <f>Z27</f>
        <v>Alcoitão "A"</v>
      </c>
      <c r="F11" s="166">
        <v>4</v>
      </c>
      <c r="G11" s="166">
        <v>1</v>
      </c>
      <c r="H11" s="151" t="str">
        <f>AA27</f>
        <v>S. J. Brito</v>
      </c>
      <c r="I11" s="172" t="s">
        <v>98</v>
      </c>
      <c r="J11" s="91" t="s">
        <v>10</v>
      </c>
      <c r="K11" s="6" t="str">
        <f t="shared" si="0"/>
        <v>Alcoitão "A"</v>
      </c>
      <c r="L11" s="6" t="str">
        <f t="shared" si="1"/>
        <v>S. J. Brito</v>
      </c>
      <c r="O11" s="60"/>
      <c r="P11" s="60"/>
      <c r="Q11" s="60"/>
      <c r="R11" s="60"/>
      <c r="S11" s="60"/>
      <c r="T11" s="60"/>
      <c r="U11" s="60"/>
      <c r="V11" s="60"/>
      <c r="X11" s="4" t="s">
        <v>93</v>
      </c>
      <c r="Y11" s="39">
        <f>DCOUNT($E$5:$F$29,$F$5,$AA12:$AA13)+DCOUNT($G$5:$H$29,$G$5,$AA12:$AA13)</f>
        <v>3</v>
      </c>
      <c r="Z11" s="39">
        <f>COUNTIF($K$6:$K$35,AA13)</f>
        <v>2</v>
      </c>
      <c r="AA11" s="39">
        <f>Y11-Z11-AB11</f>
        <v>0</v>
      </c>
      <c r="AB11" s="39">
        <f>COUNTIF($L$6:$L$35,AA13)</f>
        <v>1</v>
      </c>
      <c r="AC11" s="39">
        <f>DSUM($E$5:$F$29,$F$5,$AA12:$AA13)+DSUM($G$5:$H$29,$G$5,$AA12:$AA13)</f>
        <v>8</v>
      </c>
      <c r="AD11" s="39">
        <f>DSUM($E$5:$G$29,$G$5,$AA12:$AA13)+DSUM($F$5:$H$29,$F$5,$AA12:$AA13)</f>
        <v>12</v>
      </c>
      <c r="AE11" s="39">
        <f>AC11-AD11</f>
        <v>-4</v>
      </c>
      <c r="AF11" s="40">
        <f>Z11*3+AA11*1</f>
        <v>6</v>
      </c>
      <c r="AH11" s="41" t="str">
        <f>X11</f>
        <v>Porto Salvo "A"</v>
      </c>
      <c r="AI11" s="42">
        <f>AF11</f>
        <v>6</v>
      </c>
      <c r="AJ11" s="43" t="str">
        <f>AH11</f>
        <v>Porto Salvo "A"</v>
      </c>
      <c r="AK11" s="42">
        <f>VLOOKUP(AJ11,X8:AF11,9,FALSE)</f>
        <v>6</v>
      </c>
      <c r="AL11" s="43" t="str">
        <f>AJ11</f>
        <v>Porto Salvo "A"</v>
      </c>
      <c r="AM11" s="42">
        <f>VLOOKUP(AL11,X8:AF11,9,FALSE)</f>
        <v>6</v>
      </c>
      <c r="AN11" s="44" t="str">
        <f>IF(AM11&lt;=AM8,AL11,AL8)</f>
        <v>Porto Salvo "A"</v>
      </c>
      <c r="AO11" s="42">
        <f>VLOOKUP(AN11,X8:AF11,9,FALSE)</f>
        <v>6</v>
      </c>
      <c r="AP11" s="43" t="str">
        <f>AN11</f>
        <v>Porto Salvo "A"</v>
      </c>
      <c r="AQ11" s="42">
        <f>VLOOKUP(AP11,X8:AF11,9,FALSE)</f>
        <v>6</v>
      </c>
      <c r="AR11" s="44" t="str">
        <f>IF(AQ11&lt;=AQ9,AP11,AP9)</f>
        <v>Estoril AC</v>
      </c>
      <c r="AS11" s="42">
        <f>VLOOKUP(AR11,X8:AF11,9,FALSE)</f>
        <v>3</v>
      </c>
      <c r="AT11" s="44" t="str">
        <f>IF(AS11&lt;=AS10,AR11,AR10)</f>
        <v>Tires</v>
      </c>
      <c r="AU11" s="45">
        <f>VLOOKUP(AT11,X8:AF11,9,FALSE)</f>
        <v>0</v>
      </c>
      <c r="AV11" s="46" t="str">
        <f>AT11</f>
        <v>Tires</v>
      </c>
      <c r="AW11" s="47">
        <f>AU11</f>
        <v>0</v>
      </c>
      <c r="AX11" s="42">
        <f>VLOOKUP(AV11,X8:AF11,8,FALSE)</f>
        <v>-16</v>
      </c>
      <c r="AY11" s="43" t="str">
        <f>AV11</f>
        <v>Tires</v>
      </c>
      <c r="AZ11" s="42">
        <f>VLOOKUP(AY11,X8:AF11,9,FALSE)</f>
        <v>0</v>
      </c>
      <c r="BA11" s="42">
        <f>VLOOKUP(AY11,X8:AF11,8,FALSE)</f>
        <v>-16</v>
      </c>
      <c r="BB11" s="43" t="str">
        <f>AY11</f>
        <v>Tires</v>
      </c>
      <c r="BC11" s="42">
        <f>VLOOKUP(BB11,X8:AF11,9,FALSE)</f>
        <v>0</v>
      </c>
      <c r="BD11" s="42">
        <f>VLOOKUP(BB11,X8:AF11,8,FALSE)</f>
        <v>-16</v>
      </c>
      <c r="BE11" s="44" t="str">
        <f>IF(AND(BC10=BC11,BD11&gt;BD10),BB10,BB11)</f>
        <v>Tires</v>
      </c>
      <c r="BF11" s="48">
        <f>VLOOKUP(BE11,X8:AF11,9,FALSE)</f>
        <v>0</v>
      </c>
      <c r="BG11" s="49" t="str">
        <f>BE11</f>
        <v>Tires</v>
      </c>
      <c r="BI11" s="13" t="str">
        <f>BG11</f>
        <v>Tires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3</v>
      </c>
      <c r="BO11" s="27">
        <f>VLOOKUP(BI11,X8:AF11,7,FALSE)</f>
        <v>19</v>
      </c>
      <c r="BP11" s="27">
        <f>VLOOKUP(BI11,X8:AF11,8,FALSE)</f>
        <v>-16</v>
      </c>
      <c r="BQ11" s="27">
        <f>VLOOKUP(BI11,X8:AF11,9,FALSE)</f>
        <v>0</v>
      </c>
      <c r="BR11" s="1" t="str">
        <f>BI11</f>
        <v>Tires</v>
      </c>
      <c r="BS11" s="1">
        <f>VLOOKUP(BR11,BI8:BQ11,9,FALSE)</f>
        <v>0</v>
      </c>
      <c r="BT11" s="1">
        <f>VLOOKUP(BR11,BI8:BQ11,8,FALSE)</f>
        <v>-16</v>
      </c>
      <c r="BU11" s="29" t="str">
        <f>IF(AND(BS10=BS11,BT11&gt;BT10),BR10,BR11)</f>
        <v>Tires</v>
      </c>
      <c r="BV11" s="29">
        <f>VLOOKUP(BU11,BI8:BQ11,9,FALSE)</f>
        <v>0</v>
      </c>
      <c r="BW11" s="29">
        <f>VLOOKUP(BU11,BI8:BQ11,8,FALSE)</f>
        <v>-16</v>
      </c>
      <c r="BX11" s="29" t="str">
        <f>IF(AND(BV9=BV11,BW11&gt;BW9),BU9,BU11)</f>
        <v>Tires</v>
      </c>
      <c r="BY11" s="1">
        <f>VLOOKUP(BX11,BI8:BQ11,9,FALSE)</f>
        <v>0</v>
      </c>
      <c r="BZ11" s="12">
        <f>VLOOKUP(BX11,BI8:BQ11,8,FALSE)</f>
        <v>-16</v>
      </c>
      <c r="CA11" s="30" t="str">
        <f>IF(AND(BY8=BY11,BZ11&gt;BZ8),BX8,BX11)</f>
        <v>Tires</v>
      </c>
      <c r="CB11" s="1">
        <f>VLOOKUP(CA11,BI8:BQ11,9,FALSE)</f>
        <v>0</v>
      </c>
      <c r="CC11" s="1">
        <f>VLOOKUP(CA11,BI8:BQ11,8,FALSE)</f>
        <v>-16</v>
      </c>
      <c r="CD11" s="12">
        <f>VLOOKUP(CA11,BI8:BQ11,6,FALSE)</f>
        <v>3</v>
      </c>
      <c r="CE11" s="29" t="str">
        <f>IF(AND(CB10=CB11,CC10=CC11,CD11&gt;CD10),CA10,CA11)</f>
        <v>Tires</v>
      </c>
      <c r="CF11" s="1">
        <f>VLOOKUP(CE11,BI8:BQ11,9,FALSE)</f>
        <v>0</v>
      </c>
      <c r="CG11" s="1">
        <f>VLOOKUP(CE11,BI8:BQ11,8,FALSE)</f>
        <v>-16</v>
      </c>
      <c r="CH11" s="1">
        <f>VLOOKUP(CE11,BI8:BQ11,6,FALSE)</f>
        <v>3</v>
      </c>
      <c r="CI11" s="29" t="str">
        <f>IF(AND(CF9=CF11,CG9=CG11,CH11&gt;CH9),CE9,CE11)</f>
        <v>Tires</v>
      </c>
      <c r="CJ11" s="1">
        <f>VLOOKUP(CI11,BI8:BQ11,9,FALSE)</f>
        <v>0</v>
      </c>
      <c r="CK11" s="1">
        <f>VLOOKUP(CI11,BI8:BQ11,8,FALSE)</f>
        <v>-16</v>
      </c>
      <c r="CL11" s="1">
        <f>VLOOKUP(CI11,BI8:BQ11,6,FALSE)</f>
        <v>3</v>
      </c>
      <c r="CM11" s="28" t="str">
        <f>IF(AND(CJ8=CJ11,CK8=CK11,CL11&gt;CL8),CI8,CI11)</f>
        <v>Tires</v>
      </c>
      <c r="CN11" s="1">
        <f>VLOOKUP(CM11,BI8:BQ11,9,FALSE)</f>
        <v>0</v>
      </c>
      <c r="CO11" s="1">
        <f>VLOOKUP(CM11,BI8:BQ11,8,FALSE)</f>
        <v>-16</v>
      </c>
      <c r="CP11" s="1">
        <f>VLOOKUP(CM11,BI8:BQ11,6,FALSE)</f>
        <v>3</v>
      </c>
      <c r="CQ11" s="13" t="str">
        <f>CM11</f>
        <v>Tires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3</v>
      </c>
      <c r="CW11" s="27">
        <f>VLOOKUP(CQ11,$X$8:$AF$11,7,FALSE)</f>
        <v>19</v>
      </c>
      <c r="CX11" s="27">
        <f>VLOOKUP(CQ11,$X$8:$AF$11,8,FALSE)</f>
        <v>-16</v>
      </c>
      <c r="CY11" s="27">
        <f>VLOOKUP(CQ11,$X$8:$AF$11,9,FALSE)</f>
        <v>0</v>
      </c>
      <c r="DA11" s="1" t="str">
        <f>IF(ISNA(VLOOKUP(CQ11,K$6:L$25,1,FALSE))=TRUE,CM11,VLOOKUP(CQ11,K$6:L$25,1,FALSE))</f>
        <v>Tires</v>
      </c>
      <c r="DB11" s="1" t="str">
        <f>IF(ISNA(VLOOKUP(CQ11,K$6:L$25,2,FALSE))=TRUE,CM11,VLOOKUP(CQ11,K$6:L$25,2,FALSE))</f>
        <v>Tires</v>
      </c>
      <c r="DD11" s="1" t="str">
        <f>IF(DD10=CM11,CM10,IF(AND(CR12=CR11,CY12=CY11,DA12=CM12,DB12=CM11),DA12,CM11))</f>
        <v>Tires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3</v>
      </c>
      <c r="DJ11" s="27">
        <f>VLOOKUP(DD11,$X$8:$AF$11,7,FALSE)</f>
        <v>19</v>
      </c>
      <c r="DK11" s="27">
        <f>VLOOKUP(DD11,$X$8:$AF$11,8,FALSE)</f>
        <v>-16</v>
      </c>
      <c r="DL11" s="27">
        <f>VLOOKUP(DD11,$X$8:$AF$11,9,FALSE)</f>
        <v>0</v>
      </c>
    </row>
    <row r="12" spans="2:116" ht="22.5" customHeight="1" x14ac:dyDescent="0.3">
      <c r="B12" s="96">
        <v>7</v>
      </c>
      <c r="C12" s="92">
        <v>45096</v>
      </c>
      <c r="D12" s="93">
        <v>0.70833333333333337</v>
      </c>
      <c r="E12" s="152" t="str">
        <f>Z34</f>
        <v>Porto Salvo "B"</v>
      </c>
      <c r="F12" s="166">
        <v>0</v>
      </c>
      <c r="G12" s="166">
        <v>2</v>
      </c>
      <c r="H12" s="153" t="str">
        <f>AA34</f>
        <v>Torre</v>
      </c>
      <c r="I12" s="173" t="s">
        <v>89</v>
      </c>
      <c r="J12" s="94" t="s">
        <v>11</v>
      </c>
      <c r="K12" s="6" t="str">
        <f>IF(F12&lt;&gt;"",IF(F12&gt;G12,E12,IF(G12&gt;F12,H12,"Empate")),"")</f>
        <v>Torre</v>
      </c>
      <c r="L12" s="6" t="str">
        <f>IF(F12&lt;&gt;"",IF(F12&lt;G12,E12,IF(G12&lt;F12,H12,"Empate")),"")</f>
        <v>Porto Salvo "B"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90">
        <v>8</v>
      </c>
      <c r="C13" s="191">
        <v>45096</v>
      </c>
      <c r="D13" s="192">
        <v>0.70833333333333337</v>
      </c>
      <c r="E13" s="193" t="str">
        <f>X34</f>
        <v>ADCEO</v>
      </c>
      <c r="F13" s="194">
        <v>3</v>
      </c>
      <c r="G13" s="194">
        <v>1</v>
      </c>
      <c r="H13" s="195" t="str">
        <f>Y34</f>
        <v>Cascais</v>
      </c>
      <c r="I13" s="196" t="s">
        <v>100</v>
      </c>
      <c r="J13" s="197" t="s">
        <v>11</v>
      </c>
      <c r="K13" s="6" t="str">
        <f t="shared" si="0"/>
        <v>ADCEO</v>
      </c>
      <c r="L13" s="6" t="str">
        <f t="shared" si="1"/>
        <v>Cascais</v>
      </c>
      <c r="N13" s="156" t="str">
        <f t="shared" ref="N13:V16" si="3">DD15</f>
        <v>Real SC</v>
      </c>
      <c r="O13" s="135">
        <f t="shared" si="3"/>
        <v>3</v>
      </c>
      <c r="P13" s="136">
        <f t="shared" si="3"/>
        <v>3</v>
      </c>
      <c r="Q13" s="136">
        <f t="shared" si="3"/>
        <v>0</v>
      </c>
      <c r="R13" s="136">
        <f t="shared" si="3"/>
        <v>0</v>
      </c>
      <c r="S13" s="136">
        <f t="shared" si="3"/>
        <v>16</v>
      </c>
      <c r="T13" s="136">
        <f t="shared" si="3"/>
        <v>1</v>
      </c>
      <c r="U13" s="136">
        <f t="shared" si="3"/>
        <v>15</v>
      </c>
      <c r="V13" s="137">
        <f t="shared" si="3"/>
        <v>9</v>
      </c>
      <c r="X13" s="15" t="s">
        <v>92</v>
      </c>
      <c r="Y13" s="15" t="s">
        <v>86</v>
      </c>
      <c r="Z13" s="15" t="s">
        <v>80</v>
      </c>
      <c r="AA13" s="15" t="s">
        <v>93</v>
      </c>
      <c r="AB13" s="15"/>
      <c r="AC13" s="15"/>
      <c r="AD13" s="15"/>
      <c r="AE13" s="15"/>
      <c r="AF13" s="15"/>
    </row>
    <row r="14" spans="2:116" ht="22.5" customHeight="1" x14ac:dyDescent="0.2">
      <c r="B14" s="183">
        <v>9</v>
      </c>
      <c r="C14" s="184">
        <v>45097</v>
      </c>
      <c r="D14" s="185">
        <v>0.70833333333333337</v>
      </c>
      <c r="E14" s="186" t="str">
        <f>X13</f>
        <v>SL Benfica</v>
      </c>
      <c r="F14" s="178">
        <v>2</v>
      </c>
      <c r="G14" s="178">
        <v>1</v>
      </c>
      <c r="H14" s="187" t="str">
        <f>Z13</f>
        <v>Estoril AC</v>
      </c>
      <c r="I14" s="188" t="s">
        <v>97</v>
      </c>
      <c r="J14" s="189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7" t="str">
        <f t="shared" si="3"/>
        <v>Carcavelos</v>
      </c>
      <c r="O14" s="138">
        <f t="shared" si="3"/>
        <v>3</v>
      </c>
      <c r="P14" s="139">
        <f t="shared" si="3"/>
        <v>2</v>
      </c>
      <c r="Q14" s="139">
        <f t="shared" si="3"/>
        <v>0</v>
      </c>
      <c r="R14" s="139">
        <f t="shared" si="3"/>
        <v>1</v>
      </c>
      <c r="S14" s="139">
        <f t="shared" si="3"/>
        <v>5</v>
      </c>
      <c r="T14" s="139">
        <f t="shared" si="3"/>
        <v>7</v>
      </c>
      <c r="U14" s="139">
        <f t="shared" si="3"/>
        <v>-2</v>
      </c>
      <c r="V14" s="140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45097</v>
      </c>
      <c r="D15" s="84">
        <v>0.70833333333333337</v>
      </c>
      <c r="E15" s="146" t="str">
        <f>Y13</f>
        <v>Tires</v>
      </c>
      <c r="F15" s="3">
        <v>2</v>
      </c>
      <c r="G15" s="3">
        <v>3</v>
      </c>
      <c r="H15" s="147" t="str">
        <f>AA13</f>
        <v>Porto Salvo "A"</v>
      </c>
      <c r="I15" s="170" t="s">
        <v>88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7" t="str">
        <f t="shared" si="3"/>
        <v>Alcoitão "B"</v>
      </c>
      <c r="O15" s="138">
        <f t="shared" si="3"/>
        <v>3</v>
      </c>
      <c r="P15" s="139">
        <f t="shared" si="3"/>
        <v>1</v>
      </c>
      <c r="Q15" s="139">
        <f>DG17</f>
        <v>0</v>
      </c>
      <c r="R15" s="139">
        <f t="shared" si="3"/>
        <v>2</v>
      </c>
      <c r="S15" s="139">
        <f t="shared" si="3"/>
        <v>3</v>
      </c>
      <c r="T15" s="139">
        <f t="shared" si="3"/>
        <v>5</v>
      </c>
      <c r="U15" s="139">
        <f t="shared" si="3"/>
        <v>-2</v>
      </c>
      <c r="V15" s="140">
        <f t="shared" si="3"/>
        <v>3</v>
      </c>
      <c r="X15" s="14" t="s">
        <v>82</v>
      </c>
      <c r="Y15" s="15">
        <f>DCOUNT($E$5:$F$29,$F$5,$X19:$X20)+DCOUNT($G$5:$H$29,$G$5,$X19:$X20)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DSUM($E$5:$F$29,$F$5,$X19:$X20)+DSUM($G$5:$H$29,$G$5,$X19:$X20)</f>
        <v>16</v>
      </c>
      <c r="AD15" s="15">
        <f>DSUM($E$5:$G$29,$G$5,$X19:$X20)+DSUM($F$5:$H$29,$F$5,$X19:$X20)</f>
        <v>1</v>
      </c>
      <c r="AE15" s="15">
        <f>AC15-AD15</f>
        <v>15</v>
      </c>
      <c r="AF15" s="16">
        <f>Z15*3+AA15*1</f>
        <v>9</v>
      </c>
      <c r="AH15" s="17" t="str">
        <f>X15</f>
        <v>Real SC</v>
      </c>
      <c r="AI15" s="18">
        <f>AF15</f>
        <v>9</v>
      </c>
      <c r="AJ15" s="19" t="str">
        <f>IF(AI15&gt;=AI16,AH15,AH16)</f>
        <v>Real SC</v>
      </c>
      <c r="AK15" s="18">
        <f>VLOOKUP(AJ15,X15:AF18,9,FALSE)</f>
        <v>9</v>
      </c>
      <c r="AL15" s="19" t="str">
        <f>IF(AK15&gt;=AK17,AJ15,AJ17)</f>
        <v>Real SC</v>
      </c>
      <c r="AM15" s="18">
        <f>VLOOKUP(AL15,X15:AF18,9,FALSE)</f>
        <v>9</v>
      </c>
      <c r="AN15" s="19" t="str">
        <f>IF(AM15&gt;=AM18,AL15,AL18)</f>
        <v>Real SC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9</v>
      </c>
      <c r="AX15" s="18">
        <f>VLOOKUP(AV15,X15:AF18,8,FALSE)</f>
        <v>15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16</v>
      </c>
      <c r="BO15" s="27">
        <f>VLOOKUP(BI15,X15:AF18,7,FALSE)</f>
        <v>1</v>
      </c>
      <c r="BP15" s="27">
        <f>VLOOKUP(BI15,X15:AF18,8,FALSE)</f>
        <v>15</v>
      </c>
      <c r="BQ15" s="27">
        <f>VLOOKUP(BI15,X15:AF18,9,FALSE)</f>
        <v>9</v>
      </c>
      <c r="BR15" s="1" t="str">
        <f>BI15</f>
        <v>Real SC</v>
      </c>
      <c r="BS15" s="1">
        <f>VLOOKUP(BR15,BI15:BQ18,9,FALSE)</f>
        <v>9</v>
      </c>
      <c r="BT15" s="1">
        <f>VLOOKUP(BR15,BI15:BQ18,8,FALSE)</f>
        <v>15</v>
      </c>
      <c r="BU15" s="28" t="str">
        <f>IF(AND(BS15=BS16,BT16&gt;BT15),BR16,BR15)</f>
        <v>Real SC</v>
      </c>
      <c r="BV15" s="29">
        <f>VLOOKUP(BU15,BI15:BQ18,9,FALSE)</f>
        <v>9</v>
      </c>
      <c r="BW15" s="29">
        <f>VLOOKUP(BU15,BI15:BQ18,8,FALSE)</f>
        <v>15</v>
      </c>
      <c r="BX15" s="28" t="str">
        <f>IF(AND(BV15=BV17,BW17&gt;BW15),BU17,BU15)</f>
        <v>Real SC</v>
      </c>
      <c r="BY15" s="1">
        <f>VLOOKUP(BX15,BI15:BQ18,9,FALSE)</f>
        <v>9</v>
      </c>
      <c r="BZ15" s="12">
        <f>VLOOKUP(BX15,BI15:BQ18,8,FALSE)</f>
        <v>15</v>
      </c>
      <c r="CA15" s="30" t="str">
        <f>IF(AND(BY15=BY18,BZ18&gt;BZ15),BX18,BX15)</f>
        <v>Real SC</v>
      </c>
      <c r="CB15" s="1">
        <f>VLOOKUP(CA15,BI15:BQ18,9,FALSE)</f>
        <v>9</v>
      </c>
      <c r="CC15" s="1">
        <f>VLOOKUP(CA15,BI15:BQ18,8,FALSE)</f>
        <v>15</v>
      </c>
      <c r="CD15" s="12">
        <f>VLOOKUP(CA15,BI15:BQ18,6,FALSE)</f>
        <v>16</v>
      </c>
      <c r="CE15" s="28" t="str">
        <f>IF(AND(CB15=CB16,CC15=CC16,CD16&gt;CD15),CA16,CA15)</f>
        <v>Real SC</v>
      </c>
      <c r="CF15" s="1">
        <f>VLOOKUP(CE15,BI15:BQ18,9,FALSE)</f>
        <v>9</v>
      </c>
      <c r="CG15" s="1">
        <f>VLOOKUP(CE15,BI15:BQ18,8,FALSE)</f>
        <v>15</v>
      </c>
      <c r="CH15" s="1">
        <f>VLOOKUP(CE15,BI15:BQ18,6,FALSE)</f>
        <v>16</v>
      </c>
      <c r="CI15" s="28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15</v>
      </c>
      <c r="CL15" s="1">
        <f>VLOOKUP(CI15,BI15:BQ18,6,FALSE)</f>
        <v>16</v>
      </c>
      <c r="CM15" s="28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15</v>
      </c>
      <c r="CP15" s="1">
        <f>VLOOKUP(CM15,BI15:BQ18,6,FALSE)</f>
        <v>16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16</v>
      </c>
      <c r="CW15" s="27">
        <f>VLOOKUP(CQ15,$X$15:$AF$18,7,FALSE)</f>
        <v>1</v>
      </c>
      <c r="CX15" s="27">
        <f>VLOOKUP(CQ15,$X$15:$AF$18,8,FALSE)</f>
        <v>15</v>
      </c>
      <c r="CY15" s="27">
        <f>VLOOKUP(CQ15,$X$15:$AF$18,9,FALSE)</f>
        <v>9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Trajouce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16</v>
      </c>
      <c r="DJ15" s="27">
        <f>VLOOKUP(DD15,$X$15:$AF$18,7,FALSE)</f>
        <v>1</v>
      </c>
      <c r="DK15" s="27">
        <f>VLOOKUP(DD15,$X$15:$AF$18,8,FALSE)</f>
        <v>15</v>
      </c>
      <c r="DL15" s="27">
        <f>VLOOKUP(DD15,$X$15:$AF$18,9,FALSE)</f>
        <v>9</v>
      </c>
    </row>
    <row r="16" spans="2:116" ht="22.5" customHeight="1" x14ac:dyDescent="0.3">
      <c r="B16" s="96">
        <v>11</v>
      </c>
      <c r="C16" s="86">
        <v>45097</v>
      </c>
      <c r="D16" s="87">
        <v>0.70833333333333337</v>
      </c>
      <c r="E16" s="148" t="str">
        <f>Y20</f>
        <v>Trajouce</v>
      </c>
      <c r="F16" s="3">
        <v>0</v>
      </c>
      <c r="G16" s="3">
        <v>2</v>
      </c>
      <c r="H16" s="149" t="str">
        <f>AA20</f>
        <v>Alcoitão "B"</v>
      </c>
      <c r="I16" s="171" t="s">
        <v>65</v>
      </c>
      <c r="J16" s="88" t="s">
        <v>9</v>
      </c>
      <c r="K16" s="6" t="str">
        <f t="shared" ref="K16:K23" si="4">IF(F14&lt;&gt;"",IF(F14&gt;G14,E14,IF(G14&gt;F14,H14,"Empate")),"")</f>
        <v>SL Benfica</v>
      </c>
      <c r="L16" s="6" t="str">
        <f t="shared" ref="L16:L23" si="5">IF(F14&lt;&gt;"",IF(F14&lt;G14,E14,IF(G14&lt;F14,H14,"Empate")),"")</f>
        <v>Estoril AC</v>
      </c>
      <c r="N16" s="158" t="str">
        <f t="shared" si="3"/>
        <v>Trajouce</v>
      </c>
      <c r="O16" s="141">
        <f t="shared" si="3"/>
        <v>3</v>
      </c>
      <c r="P16" s="142">
        <f t="shared" si="3"/>
        <v>0</v>
      </c>
      <c r="Q16" s="142">
        <f t="shared" si="3"/>
        <v>0</v>
      </c>
      <c r="R16" s="142">
        <f t="shared" si="3"/>
        <v>3</v>
      </c>
      <c r="S16" s="142">
        <f t="shared" si="3"/>
        <v>1</v>
      </c>
      <c r="T16" s="142">
        <f t="shared" si="3"/>
        <v>12</v>
      </c>
      <c r="U16" s="142">
        <f t="shared" si="3"/>
        <v>-11</v>
      </c>
      <c r="V16" s="143">
        <f t="shared" si="3"/>
        <v>0</v>
      </c>
      <c r="X16" s="14" t="s">
        <v>71</v>
      </c>
      <c r="Y16" s="15">
        <f>DCOUNT($E$5:$F$29,$F$5,$Y19:$Y20)+DCOUNT($G$5:$H$29,$G$5,$Y19:$Y20)</f>
        <v>3</v>
      </c>
      <c r="Z16" s="15">
        <f>COUNTIF($K$6:$K$35,Y20)</f>
        <v>0</v>
      </c>
      <c r="AA16" s="15">
        <f>Y16-Z16-AB16</f>
        <v>0</v>
      </c>
      <c r="AB16" s="15">
        <f>COUNTIF($L$6:$L$35,Y20)</f>
        <v>3</v>
      </c>
      <c r="AC16" s="15">
        <f>DSUM($E$5:$F$29,$F$5,$Y19:$Y20)+DSUM($G$5:$H$29,$G$5,$Y19:$Y20)</f>
        <v>1</v>
      </c>
      <c r="AD16" s="15">
        <f>DSUM($E$5:$G$29,$G$5,$Y19:$Y20)+DSUM($F$5:$H$29,$F$5,$Y19:$Y20)</f>
        <v>12</v>
      </c>
      <c r="AE16" s="15">
        <f>AC16-AD16</f>
        <v>-11</v>
      </c>
      <c r="AF16" s="16">
        <f>Z16*3+AA16*1</f>
        <v>0</v>
      </c>
      <c r="AH16" s="31" t="str">
        <f>X16</f>
        <v>Trajouce</v>
      </c>
      <c r="AI16" s="32">
        <f>AF16</f>
        <v>0</v>
      </c>
      <c r="AJ16" s="30" t="str">
        <f>IF(AI16&lt;=AI15,AH16,AH15)</f>
        <v>Trajouce</v>
      </c>
      <c r="AK16" s="32">
        <f>VLOOKUP(AJ16,X15:AF18,9,FALSE)</f>
        <v>0</v>
      </c>
      <c r="AL16" s="10" t="str">
        <f>AJ16</f>
        <v>Trajouce</v>
      </c>
      <c r="AM16" s="32">
        <f>VLOOKUP(AL16,X15:AF18,9,FALSE)</f>
        <v>0</v>
      </c>
      <c r="AN16" s="10" t="str">
        <f>AL16</f>
        <v>Trajouce</v>
      </c>
      <c r="AO16" s="32">
        <f>VLOOKUP(AN16,X15:AF18,9,FALSE)</f>
        <v>0</v>
      </c>
      <c r="AP16" s="30" t="str">
        <f>IF(AO16&gt;=AO17,AN16,AN17)</f>
        <v>Carcavelos</v>
      </c>
      <c r="AQ16" s="32">
        <f>VLOOKUP(AP16,X15:AF18,9,FALSE)</f>
        <v>6</v>
      </c>
      <c r="AR16" s="30" t="str">
        <f>IF(AQ16&gt;=AQ18,AP16,AP18)</f>
        <v>Carcavelos</v>
      </c>
      <c r="AS16" s="32">
        <f>VLOOKUP(AR16,X15:AF18,9,FALSE)</f>
        <v>6</v>
      </c>
      <c r="AU16" s="33"/>
      <c r="AV16" s="34" t="str">
        <f>AR16</f>
        <v>Carcavelos</v>
      </c>
      <c r="AW16" s="35">
        <f>AS16</f>
        <v>6</v>
      </c>
      <c r="AX16" s="32">
        <f>VLOOKUP(AV16,X15:AF18,8,FALSE)</f>
        <v>-2</v>
      </c>
      <c r="AY16" s="30" t="str">
        <f>IF(AND(AW15=AW16,AX16&gt;AX15),AV15,AV16)</f>
        <v>Carcavelos</v>
      </c>
      <c r="AZ16" s="32">
        <f>VLOOKUP(AY16,X15:AF18,9,FALSE)</f>
        <v>6</v>
      </c>
      <c r="BA16" s="32">
        <f>VLOOKUP(AY16,X15:AF18,8,FALSE)</f>
        <v>-2</v>
      </c>
      <c r="BB16" s="30" t="str">
        <f>IF(AND(AZ16=AZ17,BA17&gt;BA16),AY17,AY16)</f>
        <v>Carcavelos</v>
      </c>
      <c r="BC16" s="32"/>
      <c r="BD16" s="32"/>
      <c r="BF16" s="36">
        <f>AZ16</f>
        <v>6</v>
      </c>
      <c r="BG16" s="37" t="str">
        <f>BB16</f>
        <v>Carcavelos</v>
      </c>
      <c r="BI16" s="13" t="str">
        <f>BG16</f>
        <v>Carcavelos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5</v>
      </c>
      <c r="BO16" s="27">
        <f>VLOOKUP(BI16,X15:AF18,7,FALSE)</f>
        <v>7</v>
      </c>
      <c r="BP16" s="27">
        <f>VLOOKUP(BI16,X15:AF18,8,FALSE)</f>
        <v>-2</v>
      </c>
      <c r="BQ16" s="27">
        <f>VLOOKUP(BI16,X15:AF18,9,FALSE)</f>
        <v>6</v>
      </c>
      <c r="BR16" s="1" t="str">
        <f>BI16</f>
        <v>Carcavelos</v>
      </c>
      <c r="BS16" s="1">
        <f>VLOOKUP(BR16,BI15:BQ18,9,FALSE)</f>
        <v>6</v>
      </c>
      <c r="BT16" s="1">
        <f>VLOOKUP(BR16,BI15:BQ18,8,FALSE)</f>
        <v>-2</v>
      </c>
      <c r="BU16" s="28" t="str">
        <f>IF(AND(BS15=BS16,BT16&gt;BT15),BR15,BR16)</f>
        <v>Carcavelos</v>
      </c>
      <c r="BV16" s="29">
        <f>VLOOKUP(BU16,BI15:BQ18,9,FALSE)</f>
        <v>6</v>
      </c>
      <c r="BW16" s="29">
        <f>VLOOKUP(BU16,BI15:BQ18,8,FALSE)</f>
        <v>-2</v>
      </c>
      <c r="BX16" s="29" t="str">
        <f>IF(AND(BV16=BV18,BW18&gt;BW16),BU18,BU16)</f>
        <v>Carcavelos</v>
      </c>
      <c r="BY16" s="1">
        <f>VLOOKUP(BX16,BI15:BQ18,9,FALSE)</f>
        <v>6</v>
      </c>
      <c r="BZ16" s="12">
        <f>VLOOKUP(BX16,BI15:BQ18,8,FALSE)</f>
        <v>-2</v>
      </c>
      <c r="CA16" s="1" t="str">
        <f>IF(AND(BY16=BY17,BZ17&gt;BZ16),BX17,BX16)</f>
        <v>Carcavelos</v>
      </c>
      <c r="CB16" s="1">
        <f>VLOOKUP(CA16,BI15:BQ18,9,FALSE)</f>
        <v>6</v>
      </c>
      <c r="CC16" s="1">
        <f>VLOOKUP(CA16,BI15:BQ18,8,FALSE)</f>
        <v>-2</v>
      </c>
      <c r="CD16" s="12">
        <f>VLOOKUP(CA16,BI15:BQ18,6,FALSE)</f>
        <v>5</v>
      </c>
      <c r="CE16" s="28" t="str">
        <f>IF(AND(CB15=CB16,CC15=CC16,CD16&gt;CD15),CA15,CA16)</f>
        <v>Carcavelos</v>
      </c>
      <c r="CF16" s="1">
        <f>VLOOKUP(CE16,BI15:BQ18,9,FALSE)</f>
        <v>6</v>
      </c>
      <c r="CG16" s="1">
        <f>VLOOKUP(CE16,BI15:BQ18,8,FALSE)</f>
        <v>-2</v>
      </c>
      <c r="CH16" s="1">
        <f>VLOOKUP(CE16,BI15:BQ18,6,FALSE)</f>
        <v>5</v>
      </c>
      <c r="CI16" s="29" t="str">
        <f>IF(AND(CF16=CF18,CG16=CG18,CH18&gt;CH16),CE18,CE16)</f>
        <v>Carcavelos</v>
      </c>
      <c r="CJ16" s="1">
        <f>VLOOKUP(CI16,BI15:BQ18,9,FALSE)</f>
        <v>6</v>
      </c>
      <c r="CK16" s="1">
        <f>VLOOKUP(CI16,BI15:BQ18,8,FALSE)</f>
        <v>-2</v>
      </c>
      <c r="CL16" s="1">
        <f>VLOOKUP(CI16,BI15:BQ18,6,FALSE)</f>
        <v>5</v>
      </c>
      <c r="CM16" s="29" t="str">
        <f>IF(AND(CJ16=CJ17,CK16=CK17,CL17&gt;CL16),CI17,CI16)</f>
        <v>Carcavelos</v>
      </c>
      <c r="CN16" s="1">
        <f>VLOOKUP(CM16,BI15:BQ18,9,FALSE)</f>
        <v>6</v>
      </c>
      <c r="CO16" s="1">
        <f>VLOOKUP(CM16,BI15:BQ18,8,FALSE)</f>
        <v>-2</v>
      </c>
      <c r="CP16" s="1">
        <f>VLOOKUP(CM16,BI15:BQ18,6,FALSE)</f>
        <v>5</v>
      </c>
      <c r="CQ16" s="13" t="str">
        <f>CM16</f>
        <v>Carcavelos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5</v>
      </c>
      <c r="CW16" s="27">
        <f>VLOOKUP(CQ16,$X$15:$AF$18,7,FALSE)</f>
        <v>7</v>
      </c>
      <c r="CX16" s="27">
        <f>VLOOKUP(CQ16,$X$15:$AF$18,8,FALSE)</f>
        <v>-2</v>
      </c>
      <c r="CY16" s="27">
        <f>VLOOKUP(CQ16,$X$15:$AF$18,9,FALSE)</f>
        <v>6</v>
      </c>
      <c r="DA16" s="1" t="str">
        <f>IF(ISNA(VLOOKUP(CQ16,K$6:L$25,1,FALSE))=TRUE,CM18,VLOOKUP(CQ16,K$6:L$25,1,FALSE))</f>
        <v>Carcavelos</v>
      </c>
      <c r="DB16" s="1" t="str">
        <f>IF(ISNA(VLOOKUP(CQ16,K$6:L$25,2,FALSE))=TRUE,CM18,VLOOKUP(CQ16,K$6:L$25,2,FALSE))</f>
        <v>Alcoitão "B"</v>
      </c>
      <c r="DD16" s="1" t="str">
        <f>IF(DD15=CM16,CM15,IF(AND(CR17=CR16,CY17=CY16,DA17=CM17,DB17=CM16),DA17,CM16))</f>
        <v>Carcavelos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5</v>
      </c>
      <c r="DJ16" s="27">
        <f>VLOOKUP(DD16,$X$15:$AF$18,7,FALSE)</f>
        <v>7</v>
      </c>
      <c r="DK16" s="27">
        <f>VLOOKUP(DD16,$X$15:$AF$18,8,FALSE)</f>
        <v>-2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6">
        <v>45097</v>
      </c>
      <c r="D17" s="87">
        <v>0.70833333333333337</v>
      </c>
      <c r="E17" s="148" t="str">
        <f>X20</f>
        <v>Real SC</v>
      </c>
      <c r="F17" s="3">
        <v>6</v>
      </c>
      <c r="G17" s="3">
        <v>0</v>
      </c>
      <c r="H17" s="148" t="str">
        <f>Z20</f>
        <v>Carcavelos</v>
      </c>
      <c r="I17" s="171" t="s">
        <v>64</v>
      </c>
      <c r="J17" s="88" t="s">
        <v>9</v>
      </c>
      <c r="K17" s="6" t="str">
        <f t="shared" si="4"/>
        <v>Porto Salvo "A"</v>
      </c>
      <c r="L17" s="6" t="str">
        <f t="shared" si="5"/>
        <v>Tires</v>
      </c>
      <c r="X17" s="14" t="s">
        <v>67</v>
      </c>
      <c r="Y17" s="15">
        <f>DCOUNT($E$5:$F$29,$F$5,$Z19:$Z20)+DCOUNT($G$5:$H$29,$G$5,$Z19:$Z20)</f>
        <v>3</v>
      </c>
      <c r="Z17" s="15">
        <f>COUNTIF($K$6:$K$35,Z20)</f>
        <v>2</v>
      </c>
      <c r="AA17" s="15">
        <f>Y17-Z17-AB17</f>
        <v>0</v>
      </c>
      <c r="AB17" s="15">
        <f>COUNTIF($L$6:$L$35,Z20)</f>
        <v>1</v>
      </c>
      <c r="AC17" s="15">
        <f>DSUM($E$5:$F$29,$F$5,$Z19:$Z20)+DSUM($G$5:$H$29,$G$5,$Z19:$Z20)</f>
        <v>5</v>
      </c>
      <c r="AD17" s="15">
        <f>DSUM($E$5:$G$29,$G$5,$Z19:$Z20)+DSUM($F$5:$H$29,$F$5,$Z19:$Z20)</f>
        <v>7</v>
      </c>
      <c r="AE17" s="15">
        <f>AC17-AD17</f>
        <v>-2</v>
      </c>
      <c r="AF17" s="16">
        <f>Z17*3+AA17*1</f>
        <v>6</v>
      </c>
      <c r="AH17" s="31" t="str">
        <f>X17</f>
        <v>Carcavelos</v>
      </c>
      <c r="AI17" s="32">
        <f>AF17</f>
        <v>6</v>
      </c>
      <c r="AJ17" s="10" t="str">
        <f>AH17</f>
        <v>Carcavelos</v>
      </c>
      <c r="AK17" s="32">
        <f>VLOOKUP(AJ17,X15:AF18,9,FALSE)</f>
        <v>6</v>
      </c>
      <c r="AL17" s="30" t="str">
        <f>IF(AK17&lt;=AK15,AJ17,AJ15)</f>
        <v>Carcavelos</v>
      </c>
      <c r="AM17" s="32">
        <f>VLOOKUP(AL17,X15:AF18,9,FALSE)</f>
        <v>6</v>
      </c>
      <c r="AN17" s="10" t="str">
        <f>AL17</f>
        <v>Carcavelos</v>
      </c>
      <c r="AO17" s="32">
        <f>VLOOKUP(AN17,X15:AF18,9,FALSE)</f>
        <v>6</v>
      </c>
      <c r="AP17" s="30" t="str">
        <f>IF(AO17&lt;=AO16,AN17,AN16)</f>
        <v>Trajouce</v>
      </c>
      <c r="AQ17" s="32">
        <f>VLOOKUP(AP17,X15:AF18,9,FALSE)</f>
        <v>0</v>
      </c>
      <c r="AR17" s="10" t="str">
        <f>AP17</f>
        <v>Trajouce</v>
      </c>
      <c r="AS17" s="32">
        <f>VLOOKUP(AR17,X15:AF18,9,FALSE)</f>
        <v>0</v>
      </c>
      <c r="AT17" s="30" t="str">
        <f>IF(AS17&gt;=AS18,AR17,AR18)</f>
        <v>Alcoitão "B"</v>
      </c>
      <c r="AU17" s="38">
        <f>VLOOKUP(AT17,X15:AF18,9,FALSE)</f>
        <v>3</v>
      </c>
      <c r="AV17" s="34" t="str">
        <f>AT17</f>
        <v>Alcoitão "B"</v>
      </c>
      <c r="AW17" s="35">
        <f>AU17</f>
        <v>3</v>
      </c>
      <c r="AX17" s="32">
        <f>VLOOKUP(AV17,X15:AF18,8,FALSE)</f>
        <v>-2</v>
      </c>
      <c r="AY17" s="10" t="str">
        <f>AV17</f>
        <v>Alcoitão "B"</v>
      </c>
      <c r="AZ17" s="32">
        <f>VLOOKUP(AY17,X15:AF18,9,FALSE)</f>
        <v>3</v>
      </c>
      <c r="BA17" s="32">
        <f>VLOOKUP(AY17,X15:AF18,8,FALSE)</f>
        <v>-2</v>
      </c>
      <c r="BB17" s="30" t="str">
        <f>IF(AND(AZ16=AZ17,BA17&gt;BA16),AY16,AY17)</f>
        <v>Alcoitão "B"</v>
      </c>
      <c r="BC17" s="32">
        <f>VLOOKUP(BB17,X15:AF18,9,FALSE)</f>
        <v>3</v>
      </c>
      <c r="BD17" s="32">
        <f>VLOOKUP(BB17,X15:AF18,8,FALSE)</f>
        <v>-2</v>
      </c>
      <c r="BE17" s="30" t="str">
        <f>IF(AND(BC17=BC18,BD18&gt;BD17),BB18,BB17)</f>
        <v>Alcoitão "B"</v>
      </c>
      <c r="BF17" s="36">
        <f>BC17</f>
        <v>3</v>
      </c>
      <c r="BG17" s="37" t="str">
        <f>BE17</f>
        <v>Alcoitão "B"</v>
      </c>
      <c r="BI17" s="13" t="str">
        <f>BG17</f>
        <v>Alcoitão "B"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3</v>
      </c>
      <c r="BO17" s="27">
        <f>VLOOKUP(BI17,X15:AF18,7,FALSE)</f>
        <v>5</v>
      </c>
      <c r="BP17" s="27">
        <f>VLOOKUP(BI17,X15:AF18,8,FALSE)</f>
        <v>-2</v>
      </c>
      <c r="BQ17" s="27">
        <f>VLOOKUP(BI17,X15:AF18,9,FALSE)</f>
        <v>3</v>
      </c>
      <c r="BR17" s="1" t="str">
        <f>BI17</f>
        <v>Alcoitão "B"</v>
      </c>
      <c r="BS17" s="1">
        <f>VLOOKUP(BR17,BI15:BQ18,9,FALSE)</f>
        <v>3</v>
      </c>
      <c r="BT17" s="1">
        <f>VLOOKUP(BR17,BI15:BQ18,8,FALSE)</f>
        <v>-2</v>
      </c>
      <c r="BU17" s="29" t="str">
        <f>IF(AND(BS17=BS18,BT18&gt;BT17),BR18,BR17)</f>
        <v>Alcoitão "B"</v>
      </c>
      <c r="BV17" s="29">
        <f>VLOOKUP(BU17,BI15:BQ18,9,FALSE)</f>
        <v>3</v>
      </c>
      <c r="BW17" s="29">
        <f>VLOOKUP(BU17,BI15:BQ18,8,FALSE)</f>
        <v>-2</v>
      </c>
      <c r="BX17" s="28" t="str">
        <f>IF(AND(BV15=BV17,BW17&gt;BW15),BU15,BU17)</f>
        <v>Alcoitão "B"</v>
      </c>
      <c r="BY17" s="1">
        <f>VLOOKUP(BX17,BI15:BQ18,9,FALSE)</f>
        <v>3</v>
      </c>
      <c r="BZ17" s="12">
        <f>VLOOKUP(BX17,BI15:BQ18,8,FALSE)</f>
        <v>-2</v>
      </c>
      <c r="CA17" s="1" t="str">
        <f>IF(AND(BY16=BY17,BZ17&gt;BZ16),BX16,BX17)</f>
        <v>Alcoitão "B"</v>
      </c>
      <c r="CB17" s="1">
        <f>VLOOKUP(CA17,BI15:BQ18,9,FALSE)</f>
        <v>3</v>
      </c>
      <c r="CC17" s="1">
        <f>VLOOKUP(CA17,BI15:BQ18,8,FALSE)</f>
        <v>-2</v>
      </c>
      <c r="CD17" s="12">
        <f>VLOOKUP(CA17,BI15:BQ18,6,FALSE)</f>
        <v>3</v>
      </c>
      <c r="CE17" s="29" t="str">
        <f>IF(AND(CB17=CB18,CC17=CC18,CD18&gt;CD17),CA18,CA17)</f>
        <v>Alcoitão "B"</v>
      </c>
      <c r="CF17" s="1">
        <f>VLOOKUP(CE17,BI15:BQ18,9,FALSE)</f>
        <v>3</v>
      </c>
      <c r="CG17" s="1">
        <f>VLOOKUP(CE17,BI15:BQ18,8,FALSE)</f>
        <v>-2</v>
      </c>
      <c r="CH17" s="1">
        <f>VLOOKUP(CE17,BI15:BQ18,6,FALSE)</f>
        <v>3</v>
      </c>
      <c r="CI17" s="28" t="str">
        <f>IF(AND(CF15=CF17,CG15=CG17,CH17&gt;CH15),CE15,CE17)</f>
        <v>Alcoitão "B"</v>
      </c>
      <c r="CJ17" s="1">
        <f>VLOOKUP(CI17,BI15:BQ18,9,FALSE)</f>
        <v>3</v>
      </c>
      <c r="CK17" s="1">
        <f>VLOOKUP(CI17,BI15:BQ18,8,FALSE)</f>
        <v>-2</v>
      </c>
      <c r="CL17" s="1">
        <f>VLOOKUP(CI17,BI15:BQ18,6,FALSE)</f>
        <v>3</v>
      </c>
      <c r="CM17" s="29" t="str">
        <f>IF(AND(CJ16=CJ17,CK16=CK17,CL17&gt;CL16),CI16,CI17)</f>
        <v>Alcoitão "B"</v>
      </c>
      <c r="CN17" s="1">
        <f>VLOOKUP(CM17,BI15:BQ18,9,FALSE)</f>
        <v>3</v>
      </c>
      <c r="CO17" s="1">
        <f>VLOOKUP(CM17,BI15:BQ18,8,FALSE)</f>
        <v>-2</v>
      </c>
      <c r="CP17" s="1">
        <f>VLOOKUP(CM17,BI15:BQ18,6,FALSE)</f>
        <v>3</v>
      </c>
      <c r="CQ17" s="13" t="str">
        <f>CM17</f>
        <v>Alcoitão "B"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3</v>
      </c>
      <c r="CW17" s="27">
        <f>VLOOKUP(CQ17,$X$15:$AF$18,7,FALSE)</f>
        <v>5</v>
      </c>
      <c r="CX17" s="27">
        <f>VLOOKUP(CQ17,$X$15:$AF$18,8,FALSE)</f>
        <v>-2</v>
      </c>
      <c r="CY17" s="27">
        <f>VLOOKUP(CQ17,$X$15:$AF$18,9,FALSE)</f>
        <v>3</v>
      </c>
      <c r="DA17" s="1" t="str">
        <f>IF(ISNA(VLOOKUP(CQ17,K$6:L$25,1,FALSE))=TRUE,CM18,VLOOKUP(CQ17,K$6:L$25,1,FALSE))</f>
        <v>Alcoitão "B"</v>
      </c>
      <c r="DB17" s="1" t="str">
        <f>IF(ISNA(VLOOKUP(CQ17,K$6:L$25,2,FALSE))=TRUE,CM18,VLOOKUP(CQ17,K$6:L$25,2,FALSE))</f>
        <v>Trajouce</v>
      </c>
      <c r="DD17" s="1" t="str">
        <f>IF(DD16=CM17,CM16,IF(AND(CR18=CR17,CY18=CY17,DA18=CM18,DB18=CM17),DA18,CM17))</f>
        <v>Alcoitão "B"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3</v>
      </c>
      <c r="DJ17" s="27">
        <f>VLOOKUP(DD17,$X$15:$AF$18,7,FALSE)</f>
        <v>5</v>
      </c>
      <c r="DK17" s="27">
        <f>VLOOKUP(DD17,$X$15:$AF$18,8,FALSE)</f>
        <v>-2</v>
      </c>
      <c r="DL17" s="27">
        <f>VLOOKUP(DD17,$X$15:$AF$18,9,FALSE)</f>
        <v>3</v>
      </c>
    </row>
    <row r="18" spans="2:116" ht="22.5" customHeight="1" x14ac:dyDescent="0.3">
      <c r="B18" s="96">
        <v>13</v>
      </c>
      <c r="C18" s="89">
        <v>45097</v>
      </c>
      <c r="D18" s="90">
        <v>0.70833333333333337</v>
      </c>
      <c r="E18" s="151" t="str">
        <f>Y27</f>
        <v>Maristas</v>
      </c>
      <c r="F18" s="3">
        <v>1</v>
      </c>
      <c r="G18" s="3">
        <v>2</v>
      </c>
      <c r="H18" s="151" t="str">
        <f>AA27</f>
        <v>S. J. Brito</v>
      </c>
      <c r="I18" s="172" t="s">
        <v>89</v>
      </c>
      <c r="J18" s="91" t="s">
        <v>10</v>
      </c>
      <c r="K18" s="6" t="str">
        <f t="shared" si="4"/>
        <v>Alcoitão "B"</v>
      </c>
      <c r="L18" s="6" t="str">
        <f t="shared" si="5"/>
        <v>Trajouce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94</v>
      </c>
      <c r="Y18" s="39">
        <f>DCOUNT($E$5:$F$29,$F$5,$AA19:$AA20)+DCOUNT($G$5:$H$29,$G$5,$AA19:$AA20)</f>
        <v>3</v>
      </c>
      <c r="Z18" s="39">
        <f>COUNTIF($K$6:$K$35,AA20)</f>
        <v>1</v>
      </c>
      <c r="AA18" s="39">
        <f>Y18-Z18-AB18</f>
        <v>0</v>
      </c>
      <c r="AB18" s="39">
        <f>COUNTIF($L$6:$L$35,AA20)</f>
        <v>2</v>
      </c>
      <c r="AC18" s="39">
        <f>DSUM($E$5:$F$29,$F$5,$AA19:$AA20)+DSUM($G$5:$H$29,$G$5,$AA19:$AA20)</f>
        <v>3</v>
      </c>
      <c r="AD18" s="39">
        <f>DSUM($E$5:$G$29,$G$5,$AA19:$AA20)+DSUM($F$5:$H$29,$F$5,$AA19:$AA20)</f>
        <v>5</v>
      </c>
      <c r="AE18" s="39">
        <f>AC18-AD18</f>
        <v>-2</v>
      </c>
      <c r="AF18" s="40">
        <f>Z18*3+AA18*1</f>
        <v>3</v>
      </c>
      <c r="AH18" s="41" t="str">
        <f>X18</f>
        <v>Alcoitão "B"</v>
      </c>
      <c r="AI18" s="42">
        <f>AF18</f>
        <v>3</v>
      </c>
      <c r="AJ18" s="43" t="str">
        <f>AH18</f>
        <v>Alcoitão "B"</v>
      </c>
      <c r="AK18" s="42">
        <f>VLOOKUP(AJ18,X15:AF18,9,FALSE)</f>
        <v>3</v>
      </c>
      <c r="AL18" s="43" t="str">
        <f>AJ18</f>
        <v>Alcoitão "B"</v>
      </c>
      <c r="AM18" s="42">
        <f>VLOOKUP(AL18,X15:AF18,9,FALSE)</f>
        <v>3</v>
      </c>
      <c r="AN18" s="44" t="str">
        <f>IF(AM18&lt;=AM15,AL18,AL15)</f>
        <v>Alcoitão "B"</v>
      </c>
      <c r="AO18" s="42">
        <f>VLOOKUP(AN18,X15:AF18,9,FALSE)</f>
        <v>3</v>
      </c>
      <c r="AP18" s="43" t="str">
        <f>AN18</f>
        <v>Alcoitão "B"</v>
      </c>
      <c r="AQ18" s="42">
        <f>VLOOKUP(AP18,X15:AF18,9,FALSE)</f>
        <v>3</v>
      </c>
      <c r="AR18" s="44" t="str">
        <f>IF(AQ18&lt;=AQ16,AP18,AP16)</f>
        <v>Alcoitão "B"</v>
      </c>
      <c r="AS18" s="42">
        <f>VLOOKUP(AR18,X15:AF18,9,FALSE)</f>
        <v>3</v>
      </c>
      <c r="AT18" s="44" t="str">
        <f>IF(AS18&lt;=AS17,AR18,AR17)</f>
        <v>Trajouce</v>
      </c>
      <c r="AU18" s="45">
        <f>VLOOKUP(AT18,X15:AF18,9,FALSE)</f>
        <v>0</v>
      </c>
      <c r="AV18" s="46" t="str">
        <f>AT18</f>
        <v>Trajouce</v>
      </c>
      <c r="AW18" s="47">
        <f>AU18</f>
        <v>0</v>
      </c>
      <c r="AX18" s="42">
        <f>VLOOKUP(AV18,X15:AF18,8,FALSE)</f>
        <v>-11</v>
      </c>
      <c r="AY18" s="43" t="str">
        <f>AV18</f>
        <v>Trajouce</v>
      </c>
      <c r="AZ18" s="42">
        <f>VLOOKUP(AY18,X15:AF18,9,FALSE)</f>
        <v>0</v>
      </c>
      <c r="BA18" s="42">
        <f>VLOOKUP(AY18,X15:AF18,8,FALSE)</f>
        <v>-11</v>
      </c>
      <c r="BB18" s="43" t="str">
        <f>AY18</f>
        <v>Trajouce</v>
      </c>
      <c r="BC18" s="42">
        <f>VLOOKUP(BB18,X15:AF18,9,FALSE)</f>
        <v>0</v>
      </c>
      <c r="BD18" s="42">
        <f>VLOOKUP(BB18,X15:AF18,8,FALSE)</f>
        <v>-11</v>
      </c>
      <c r="BE18" s="44" t="str">
        <f>IF(AND(BC17=BC18,BD18&gt;BD17),BB17,BB18)</f>
        <v>Trajouce</v>
      </c>
      <c r="BF18" s="48">
        <f>VLOOKUP(BE18,X15:AF18,9,FALSE)</f>
        <v>0</v>
      </c>
      <c r="BG18" s="49" t="str">
        <f>BE18</f>
        <v>Trajouce</v>
      </c>
      <c r="BI18" s="13" t="str">
        <f>BG18</f>
        <v>Trajouce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1</v>
      </c>
      <c r="BO18" s="27">
        <f>VLOOKUP(BI18,X15:AF18,7,FALSE)</f>
        <v>12</v>
      </c>
      <c r="BP18" s="27">
        <f>VLOOKUP(BI18,X15:AF18,8,FALSE)</f>
        <v>-11</v>
      </c>
      <c r="BQ18" s="27">
        <f>VLOOKUP(BI18,X15:AF18,9,FALSE)</f>
        <v>0</v>
      </c>
      <c r="BR18" s="1" t="str">
        <f>BI18</f>
        <v>Trajouce</v>
      </c>
      <c r="BS18" s="1">
        <f>VLOOKUP(BR18,BI15:BQ18,9,FALSE)</f>
        <v>0</v>
      </c>
      <c r="BT18" s="1">
        <f>VLOOKUP(BR18,BI15:BQ18,8,FALSE)</f>
        <v>-11</v>
      </c>
      <c r="BU18" s="29" t="str">
        <f>IF(AND(BS17=BS18,BT18&gt;BT17),BR17,BR18)</f>
        <v>Trajouce</v>
      </c>
      <c r="BV18" s="29">
        <f>VLOOKUP(BU18,BI15:BQ18,9,FALSE)</f>
        <v>0</v>
      </c>
      <c r="BW18" s="29">
        <f>VLOOKUP(BU18,BI15:BQ18,8,FALSE)</f>
        <v>-11</v>
      </c>
      <c r="BX18" s="29" t="str">
        <f>IF(AND(BV16=BV18,BW18&gt;BW16),BU16,BU18)</f>
        <v>Trajouce</v>
      </c>
      <c r="BY18" s="1">
        <f>VLOOKUP(BX18,BI15:BQ18,9,FALSE)</f>
        <v>0</v>
      </c>
      <c r="BZ18" s="12">
        <f>VLOOKUP(BX18,BI15:BQ18,8,FALSE)</f>
        <v>-11</v>
      </c>
      <c r="CA18" s="30" t="str">
        <f>IF(AND(BY15=BY18,BZ18&gt;BZ15),BX15,BX18)</f>
        <v>Trajouce</v>
      </c>
      <c r="CB18" s="1">
        <f>VLOOKUP(CA18,BI15:BQ18,9,FALSE)</f>
        <v>0</v>
      </c>
      <c r="CC18" s="1">
        <f>VLOOKUP(CA18,BI15:BQ18,8,FALSE)</f>
        <v>-11</v>
      </c>
      <c r="CD18" s="12">
        <f>VLOOKUP(CA18,BI15:BQ18,6,FALSE)</f>
        <v>1</v>
      </c>
      <c r="CE18" s="29" t="str">
        <f>IF(AND(CB17=CB18,CC17=CC18,CD18&gt;CD17),CA17,CA18)</f>
        <v>Trajouce</v>
      </c>
      <c r="CF18" s="1">
        <f>VLOOKUP(CE18,BI15:BQ18,9,FALSE)</f>
        <v>0</v>
      </c>
      <c r="CG18" s="1">
        <f>VLOOKUP(CE18,BI15:BQ18,8,FALSE)</f>
        <v>-11</v>
      </c>
      <c r="CH18" s="1">
        <f>VLOOKUP(CE18,BI15:BQ18,6,FALSE)</f>
        <v>1</v>
      </c>
      <c r="CI18" s="29" t="str">
        <f>IF(AND(CF16=CF18,CG16=CG18,CH18&gt;CH16),CE16,CE18)</f>
        <v>Trajouce</v>
      </c>
      <c r="CJ18" s="1">
        <f>VLOOKUP(CI18,BI15:BQ18,9,FALSE)</f>
        <v>0</v>
      </c>
      <c r="CK18" s="1">
        <f>VLOOKUP(CI18,BI15:BQ18,8,FALSE)</f>
        <v>-11</v>
      </c>
      <c r="CL18" s="1">
        <f>VLOOKUP(CI18,BI15:BQ18,6,FALSE)</f>
        <v>1</v>
      </c>
      <c r="CM18" s="28" t="str">
        <f>IF(AND(CJ15=CJ18,CK15=CK18,CL18&gt;CL15),CI15,CI18)</f>
        <v>Trajouce</v>
      </c>
      <c r="CN18" s="1">
        <f>VLOOKUP(CM18,BI15:BQ18,9,FALSE)</f>
        <v>0</v>
      </c>
      <c r="CO18" s="1">
        <f>VLOOKUP(CM18,BI15:BQ18,8,FALSE)</f>
        <v>-11</v>
      </c>
      <c r="CP18" s="1">
        <f>VLOOKUP(CM18,BI15:BQ18,6,FALSE)</f>
        <v>1</v>
      </c>
      <c r="CQ18" s="13" t="str">
        <f>CM18</f>
        <v>Trajouce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1</v>
      </c>
      <c r="CW18" s="27">
        <f>VLOOKUP(CQ18,$X$15:$AF$18,7,FALSE)</f>
        <v>12</v>
      </c>
      <c r="CX18" s="27">
        <f>VLOOKUP(CQ18,$X$15:$AF$18,8,FALSE)</f>
        <v>-11</v>
      </c>
      <c r="CY18" s="27">
        <f>VLOOKUP(CQ18,$X$15:$AF$18,9,FALSE)</f>
        <v>0</v>
      </c>
      <c r="DA18" s="1" t="str">
        <f>IF(ISNA(VLOOKUP(CQ18,K$6:L$25,1,FALSE))=TRUE,CM18,VLOOKUP(CQ18,K$6:L$25,1,FALSE))</f>
        <v>Trajouce</v>
      </c>
      <c r="DB18" s="1" t="str">
        <f>IF(ISNA(VLOOKUP(CQ18,K$6:L$25,2,FALSE))=TRUE,CM18,VLOOKUP(CQ18,K$6:L$25,2,FALSE))</f>
        <v>Trajouce</v>
      </c>
      <c r="DD18" s="1" t="str">
        <f>IF(DD17=CM18,CM17,IF(AND(CR19=CR18,CY19=CY18,DA19=CM19,DB19=CM18),DA19,CM18))</f>
        <v>Trajouce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1</v>
      </c>
      <c r="DJ18" s="27">
        <f>VLOOKUP(DD18,$X$15:$AF$18,7,FALSE)</f>
        <v>12</v>
      </c>
      <c r="DK18" s="27">
        <f>VLOOKUP(DD18,$X$15:$AF$18,8,FALSE)</f>
        <v>-11</v>
      </c>
      <c r="DL18" s="27">
        <f>VLOOKUP(DD18,$X$15:$AF$18,9,FALSE)</f>
        <v>0</v>
      </c>
    </row>
    <row r="19" spans="2:116" ht="22.5" customHeight="1" x14ac:dyDescent="0.3">
      <c r="B19" s="96">
        <v>14</v>
      </c>
      <c r="C19" s="89">
        <v>45097</v>
      </c>
      <c r="D19" s="90">
        <v>0.70833333333333337</v>
      </c>
      <c r="E19" s="150" t="str">
        <f>X27</f>
        <v>Oeiras</v>
      </c>
      <c r="F19" s="3">
        <v>1</v>
      </c>
      <c r="G19" s="3">
        <v>0</v>
      </c>
      <c r="H19" s="150" t="str">
        <f>Z27</f>
        <v>Alcoitão "A"</v>
      </c>
      <c r="I19" s="172" t="s">
        <v>99</v>
      </c>
      <c r="J19" s="91" t="s">
        <v>10</v>
      </c>
      <c r="K19" s="6" t="str">
        <f t="shared" si="4"/>
        <v>Real SC</v>
      </c>
      <c r="L19" s="6" t="str">
        <f t="shared" si="5"/>
        <v>Carcavelos</v>
      </c>
      <c r="N19" s="159" t="str">
        <f t="shared" ref="N19:V22" si="6">DD22</f>
        <v>Oeiras</v>
      </c>
      <c r="O19" s="135">
        <f t="shared" si="6"/>
        <v>3</v>
      </c>
      <c r="P19" s="136">
        <f t="shared" si="6"/>
        <v>3</v>
      </c>
      <c r="Q19" s="136">
        <f t="shared" si="6"/>
        <v>0</v>
      </c>
      <c r="R19" s="136">
        <f t="shared" si="6"/>
        <v>0</v>
      </c>
      <c r="S19" s="136">
        <f t="shared" si="6"/>
        <v>6</v>
      </c>
      <c r="T19" s="136">
        <f t="shared" si="6"/>
        <v>0</v>
      </c>
      <c r="U19" s="136">
        <f t="shared" si="6"/>
        <v>6</v>
      </c>
      <c r="V19" s="137">
        <f t="shared" si="6"/>
        <v>9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45097</v>
      </c>
      <c r="D20" s="93">
        <v>0.70833333333333337</v>
      </c>
      <c r="E20" s="152" t="str">
        <f>X34</f>
        <v>ADCEO</v>
      </c>
      <c r="F20" s="3">
        <v>4</v>
      </c>
      <c r="G20" s="3">
        <v>0</v>
      </c>
      <c r="H20" s="152" t="str">
        <f>Z34</f>
        <v>Porto Salvo "B"</v>
      </c>
      <c r="I20" s="173" t="s">
        <v>66</v>
      </c>
      <c r="J20" s="94" t="s">
        <v>11</v>
      </c>
      <c r="K20" s="6" t="str">
        <f t="shared" si="4"/>
        <v>S. J. Brito</v>
      </c>
      <c r="L20" s="6" t="str">
        <f t="shared" si="5"/>
        <v>Maristas</v>
      </c>
      <c r="N20" s="160" t="str">
        <f t="shared" si="6"/>
        <v>Alcoitão "A"</v>
      </c>
      <c r="O20" s="138">
        <f t="shared" si="6"/>
        <v>3</v>
      </c>
      <c r="P20" s="139">
        <f t="shared" si="6"/>
        <v>1</v>
      </c>
      <c r="Q20" s="139">
        <f t="shared" si="6"/>
        <v>1</v>
      </c>
      <c r="R20" s="139">
        <f t="shared" si="6"/>
        <v>1</v>
      </c>
      <c r="S20" s="139">
        <f t="shared" si="6"/>
        <v>5</v>
      </c>
      <c r="T20" s="139">
        <f t="shared" si="6"/>
        <v>3</v>
      </c>
      <c r="U20" s="139">
        <f t="shared" si="6"/>
        <v>2</v>
      </c>
      <c r="V20" s="140">
        <f t="shared" si="6"/>
        <v>4</v>
      </c>
      <c r="X20" s="15" t="s">
        <v>82</v>
      </c>
      <c r="Y20" s="15" t="s">
        <v>71</v>
      </c>
      <c r="Z20" s="15" t="s">
        <v>67</v>
      </c>
      <c r="AA20" s="15" t="s">
        <v>94</v>
      </c>
      <c r="AB20" s="15"/>
      <c r="AC20" s="15"/>
      <c r="AD20" s="15"/>
      <c r="AE20" s="15"/>
      <c r="AF20" s="15"/>
    </row>
    <row r="21" spans="2:116" ht="22.5" customHeight="1" x14ac:dyDescent="0.2">
      <c r="B21" s="190">
        <v>16</v>
      </c>
      <c r="C21" s="191">
        <v>45097</v>
      </c>
      <c r="D21" s="192">
        <v>0.70833333333333337</v>
      </c>
      <c r="E21" s="195" t="str">
        <f>Y34</f>
        <v>Cascais</v>
      </c>
      <c r="F21" s="198">
        <v>0</v>
      </c>
      <c r="G21" s="198">
        <v>4</v>
      </c>
      <c r="H21" s="195" t="str">
        <f>AA34</f>
        <v>Torre</v>
      </c>
      <c r="I21" s="196" t="s">
        <v>98</v>
      </c>
      <c r="J21" s="197" t="s">
        <v>11</v>
      </c>
      <c r="K21" s="6" t="str">
        <f t="shared" si="4"/>
        <v>Oeiras</v>
      </c>
      <c r="L21" s="6" t="str">
        <f t="shared" si="5"/>
        <v>Alcoitão "A"</v>
      </c>
      <c r="N21" s="160" t="str">
        <f t="shared" si="6"/>
        <v>S. J. Brito</v>
      </c>
      <c r="O21" s="138">
        <f t="shared" si="6"/>
        <v>3</v>
      </c>
      <c r="P21" s="139">
        <f t="shared" si="6"/>
        <v>1</v>
      </c>
      <c r="Q21" s="139">
        <f t="shared" si="6"/>
        <v>0</v>
      </c>
      <c r="R21" s="139">
        <f t="shared" si="6"/>
        <v>2</v>
      </c>
      <c r="S21" s="139">
        <f t="shared" si="6"/>
        <v>3</v>
      </c>
      <c r="T21" s="139">
        <f t="shared" si="6"/>
        <v>7</v>
      </c>
      <c r="U21" s="139">
        <f t="shared" si="6"/>
        <v>-4</v>
      </c>
      <c r="V21" s="140">
        <f t="shared" si="6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3">
        <v>17</v>
      </c>
      <c r="C22" s="184">
        <v>45098</v>
      </c>
      <c r="D22" s="185">
        <v>0.70833333333333337</v>
      </c>
      <c r="E22" s="187" t="str">
        <f>Y13</f>
        <v>Tires</v>
      </c>
      <c r="F22" s="178">
        <v>1</v>
      </c>
      <c r="G22" s="178">
        <v>5</v>
      </c>
      <c r="H22" s="187" t="str">
        <f>Z13</f>
        <v>Estoril AC</v>
      </c>
      <c r="I22" s="188" t="s">
        <v>99</v>
      </c>
      <c r="J22" s="189" t="s">
        <v>8</v>
      </c>
      <c r="K22" s="6" t="str">
        <f t="shared" si="4"/>
        <v>ADCEO</v>
      </c>
      <c r="L22" s="6" t="str">
        <f t="shared" si="5"/>
        <v>Porto Salvo "B"</v>
      </c>
      <c r="N22" s="161" t="str">
        <f t="shared" si="6"/>
        <v>Maristas</v>
      </c>
      <c r="O22" s="141">
        <f t="shared" si="6"/>
        <v>3</v>
      </c>
      <c r="P22" s="142">
        <f t="shared" si="6"/>
        <v>0</v>
      </c>
      <c r="Q22" s="142">
        <f t="shared" si="6"/>
        <v>1</v>
      </c>
      <c r="R22" s="142">
        <f t="shared" si="6"/>
        <v>2</v>
      </c>
      <c r="S22" s="142">
        <f t="shared" si="6"/>
        <v>2</v>
      </c>
      <c r="T22" s="142">
        <f t="shared" si="6"/>
        <v>6</v>
      </c>
      <c r="U22" s="142">
        <f t="shared" si="6"/>
        <v>-4</v>
      </c>
      <c r="V22" s="143">
        <f t="shared" si="6"/>
        <v>1</v>
      </c>
      <c r="X22" s="14" t="s">
        <v>87</v>
      </c>
      <c r="Y22" s="15">
        <f>DCOUNT($E$5:$F$29,$F$5,$X26:$X27)+DCOUNT($G$5:$H$29,$G$5,$X26:$X27)</f>
        <v>3</v>
      </c>
      <c r="Z22" s="15">
        <f>COUNTIF($K$6:$K$35,X27)</f>
        <v>3</v>
      </c>
      <c r="AA22" s="15">
        <f>Y22-Z22-AB22</f>
        <v>0</v>
      </c>
      <c r="AB22" s="15">
        <f>COUNTIF($L$6:$L$35,X27)</f>
        <v>0</v>
      </c>
      <c r="AC22" s="15">
        <f>DSUM($E$5:$F$29,$F$5,$X26:$X27)+DSUM($G$5:$H$29,$G$5,$X26:$X27)</f>
        <v>6</v>
      </c>
      <c r="AD22" s="15">
        <f>DSUM($E$5:$G$29,$G$5,$X26:$X27)+DSUM($F$5:$H$29,$F$5,$X26:$X27)</f>
        <v>0</v>
      </c>
      <c r="AE22" s="15">
        <f>AC22-AD22</f>
        <v>6</v>
      </c>
      <c r="AF22" s="16">
        <f>Z22*3+AA22*1</f>
        <v>9</v>
      </c>
      <c r="AH22" s="17" t="str">
        <f>X22</f>
        <v>Oeiras</v>
      </c>
      <c r="AI22" s="18">
        <f>AF22</f>
        <v>9</v>
      </c>
      <c r="AJ22" s="19" t="str">
        <f>IF(AI22&gt;=AI23,AH22,AH23)</f>
        <v>Oeiras</v>
      </c>
      <c r="AK22" s="18">
        <f>VLOOKUP(AJ22,X22:AF25,9,FALSE)</f>
        <v>9</v>
      </c>
      <c r="AL22" s="19" t="str">
        <f>IF(AK22&gt;=AK24,AJ22,AJ24)</f>
        <v>Oeiras</v>
      </c>
      <c r="AM22" s="18">
        <f>VLOOKUP(AL22,X22:AF25,9,FALSE)</f>
        <v>9</v>
      </c>
      <c r="AN22" s="19" t="str">
        <f>IF(AM22&gt;=AM25,AL22,AL25)</f>
        <v>Oeiras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Oeiras</v>
      </c>
      <c r="AW22" s="23">
        <f>AO22</f>
        <v>9</v>
      </c>
      <c r="AX22" s="18">
        <f>VLOOKUP(AV22,X22:AF25,8,FALSE)</f>
        <v>6</v>
      </c>
      <c r="AY22" s="19" t="str">
        <f>IF(AND(AW22=AW23,AX23&gt;AX22),AV23,AV22)</f>
        <v>Oeiras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Oeiras</v>
      </c>
      <c r="BI22" s="13" t="str">
        <f>BG22</f>
        <v>Oeiras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6</v>
      </c>
      <c r="BO22" s="27">
        <f>VLOOKUP(BI22,X22:AF25,7,FALSE)</f>
        <v>0</v>
      </c>
      <c r="BP22" s="27">
        <f>VLOOKUP(BI22,X22:AF25,8,FALSE)</f>
        <v>6</v>
      </c>
      <c r="BQ22" s="27">
        <f>VLOOKUP(BI22,X22:AF25,9,FALSE)</f>
        <v>9</v>
      </c>
      <c r="BR22" s="1" t="str">
        <f>BI22</f>
        <v>Oeiras</v>
      </c>
      <c r="BS22" s="1">
        <f>VLOOKUP(BR22,BI22:BQ25,9,FALSE)</f>
        <v>9</v>
      </c>
      <c r="BT22" s="1">
        <f>VLOOKUP(BR22,BI22:BQ25,8,FALSE)</f>
        <v>6</v>
      </c>
      <c r="BU22" s="28" t="str">
        <f>IF(AND(BS22=BS23,BT23&gt;BT22),BR23,BR22)</f>
        <v>Oeiras</v>
      </c>
      <c r="BV22" s="29">
        <f>VLOOKUP(BU22,BI22:BQ25,9,FALSE)</f>
        <v>9</v>
      </c>
      <c r="BW22" s="29">
        <f>VLOOKUP(BU22,BI22:BQ25,8,FALSE)</f>
        <v>6</v>
      </c>
      <c r="BX22" s="28" t="str">
        <f>IF(AND(BV22=BV24,BW24&gt;BW22),BU24,BU22)</f>
        <v>Oeiras</v>
      </c>
      <c r="BY22" s="1">
        <f>VLOOKUP(BX22,BI22:BQ25,9,FALSE)</f>
        <v>9</v>
      </c>
      <c r="BZ22" s="12">
        <f>VLOOKUP(BX22,BI22:BQ25,8,FALSE)</f>
        <v>6</v>
      </c>
      <c r="CA22" s="30" t="str">
        <f>IF(AND(BY22=BY25,BZ25&gt;BZ22),BX25,BX22)</f>
        <v>Oeiras</v>
      </c>
      <c r="CB22" s="1">
        <f>VLOOKUP(CA22,BI22:BQ25,9,FALSE)</f>
        <v>9</v>
      </c>
      <c r="CC22" s="1">
        <f>VLOOKUP(CA22,BI22:BQ25,8,FALSE)</f>
        <v>6</v>
      </c>
      <c r="CD22" s="12">
        <f>VLOOKUP(CA22,BI22:BQ25,6,FALSE)</f>
        <v>6</v>
      </c>
      <c r="CE22" s="28" t="str">
        <f>IF(AND(CB22=CB23,CC22=CC23,CD23&gt;CD22),CA23,CA22)</f>
        <v>Oeiras</v>
      </c>
      <c r="CF22" s="1">
        <f>VLOOKUP(CE22,BI22:BQ25,9,FALSE)</f>
        <v>9</v>
      </c>
      <c r="CG22" s="1">
        <f>VLOOKUP(CE22,BI22:BQ25,8,FALSE)</f>
        <v>6</v>
      </c>
      <c r="CH22" s="1">
        <f>VLOOKUP(CE22,BI22:BQ25,6,FALSE)</f>
        <v>6</v>
      </c>
      <c r="CI22" s="28" t="str">
        <f>IF(AND(CF22=CF24,CG22=CG24,CH24&gt;CH22),CE24,CE22)</f>
        <v>Oeiras</v>
      </c>
      <c r="CJ22" s="1">
        <f>VLOOKUP(CI22,BI22:BQ25,9,FALSE)</f>
        <v>9</v>
      </c>
      <c r="CK22" s="1">
        <f>VLOOKUP(CI22,BI22:BQ25,8,FALSE)</f>
        <v>6</v>
      </c>
      <c r="CL22" s="1">
        <f>VLOOKUP(CI22,BI22:BQ25,6,FALSE)</f>
        <v>6</v>
      </c>
      <c r="CM22" s="28" t="str">
        <f>IF(AND(CJ22=CJ25,CK22=CK25,CL25&gt;CL22),CI25,CI22)</f>
        <v>Oeiras</v>
      </c>
      <c r="CN22" s="1">
        <f>VLOOKUP(CM22,BI22:BQ25,9,FALSE)</f>
        <v>9</v>
      </c>
      <c r="CO22" s="1">
        <f>VLOOKUP(CM22,BI22:BQ25,8,FALSE)</f>
        <v>6</v>
      </c>
      <c r="CP22" s="1">
        <f>VLOOKUP(CM22,BI22:BQ25,6,FALSE)</f>
        <v>6</v>
      </c>
      <c r="CQ22" s="13" t="str">
        <f>CM22</f>
        <v>Oeiras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6</v>
      </c>
      <c r="CW22" s="27">
        <f>VLOOKUP(CQ22,$X$22:$AF$25,7,FALSE)</f>
        <v>0</v>
      </c>
      <c r="CX22" s="27">
        <f>VLOOKUP(CQ22,$X$22:$AF$25,8,FALSE)</f>
        <v>6</v>
      </c>
      <c r="CY22" s="27">
        <f>VLOOKUP(CQ22,$X$22:$AF$25,9,FALSE)</f>
        <v>9</v>
      </c>
      <c r="DA22" s="1" t="str">
        <f>IF(ISNA(VLOOKUP(CQ22,K$6:L$25,1,FALSE))=TRUE,CM25,VLOOKUP(CQ22,K$6:L$25,1,FALSE))</f>
        <v>Oeiras</v>
      </c>
      <c r="DB22" s="1" t="str">
        <f>IF(ISNA(VLOOKUP(CQ22,K$6:L$25,2,FALSE))=TRUE,CM25,VLOOKUP(CQ22,K$6:L$25,2,FALSE))</f>
        <v>Maristas</v>
      </c>
      <c r="DD22" s="1" t="str">
        <f>IF(AND(CR23=CR22,CY23=CY22,DA23=CM23,DB23=CM22),DA23,CM22)</f>
        <v>Oeiras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6</v>
      </c>
      <c r="DJ22" s="27">
        <f>VLOOKUP(DD22,$X$22:$AF$25,7,FALSE)</f>
        <v>0</v>
      </c>
      <c r="DK22" s="27">
        <f>VLOOKUP(DD22,$X$22:$AF$25,8,FALSE)</f>
        <v>6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3">
        <v>45098</v>
      </c>
      <c r="D23" s="84">
        <v>0.70833333333333337</v>
      </c>
      <c r="E23" s="147" t="str">
        <f>X13</f>
        <v>SL Benfica</v>
      </c>
      <c r="F23" s="3">
        <v>9</v>
      </c>
      <c r="G23" s="3">
        <v>3</v>
      </c>
      <c r="H23" s="146" t="str">
        <f>AA13</f>
        <v>Porto Salvo "A"</v>
      </c>
      <c r="I23" s="170" t="s">
        <v>98</v>
      </c>
      <c r="J23" s="85" t="s">
        <v>8</v>
      </c>
      <c r="K23" s="6" t="str">
        <f t="shared" si="4"/>
        <v>Torre</v>
      </c>
      <c r="L23" s="6" t="str">
        <f t="shared" si="5"/>
        <v>Cascais</v>
      </c>
      <c r="X23" s="14" t="s">
        <v>84</v>
      </c>
      <c r="Y23" s="15">
        <f>DCOUNT($E$5:$F$29,$F$5,$Y26:$Y27)+DCOUNT($G$5:$H$29,$G$5,$Y26:$Y27)</f>
        <v>3</v>
      </c>
      <c r="Z23" s="15">
        <f>COUNTIF($K$6:$K$35,Y27)</f>
        <v>0</v>
      </c>
      <c r="AA23" s="15">
        <f>Y23-Z23-AB23</f>
        <v>1</v>
      </c>
      <c r="AB23" s="15">
        <f>COUNTIF($L$6:$L$35,Y27)</f>
        <v>2</v>
      </c>
      <c r="AC23" s="15">
        <f>DSUM($E$5:$F$29,$F$5,$Y26:$Y27)+DSUM($G$5:$H$29,$G$5,$Y26:$Y27)</f>
        <v>2</v>
      </c>
      <c r="AD23" s="15">
        <f>DSUM($E$5:$G$29,$G$5,$Y26:$Y27)+DSUM($F$5:$H$29,$F$5,$Y26:$Y27)</f>
        <v>6</v>
      </c>
      <c r="AE23" s="15">
        <f>AC23-AD23</f>
        <v>-4</v>
      </c>
      <c r="AF23" s="16">
        <f>Z23*3+AA23*1</f>
        <v>1</v>
      </c>
      <c r="AH23" s="31" t="str">
        <f>X23</f>
        <v>Maristas</v>
      </c>
      <c r="AI23" s="32">
        <f>AF23</f>
        <v>1</v>
      </c>
      <c r="AJ23" s="30" t="str">
        <f>IF(AI23&lt;=AI22,AH23,AH22)</f>
        <v>Maristas</v>
      </c>
      <c r="AK23" s="32">
        <f>VLOOKUP(AJ23,X22:AF25,9,FALSE)</f>
        <v>1</v>
      </c>
      <c r="AL23" s="10" t="str">
        <f>AJ23</f>
        <v>Maristas</v>
      </c>
      <c r="AM23" s="32">
        <f>VLOOKUP(AL23,X22:AF25,9,FALSE)</f>
        <v>1</v>
      </c>
      <c r="AN23" s="10" t="str">
        <f>AL23</f>
        <v>Maristas</v>
      </c>
      <c r="AO23" s="32">
        <f>VLOOKUP(AN23,X22:AF25,9,FALSE)</f>
        <v>1</v>
      </c>
      <c r="AP23" s="30" t="str">
        <f>IF(AO23&gt;=AO24,AN23,AN24)</f>
        <v>Alcoitão "A"</v>
      </c>
      <c r="AQ23" s="32">
        <f>VLOOKUP(AP23,X22:AF25,9,FALSE)</f>
        <v>4</v>
      </c>
      <c r="AR23" s="30" t="str">
        <f>IF(AQ23&gt;=AQ25,AP23,AP25)</f>
        <v>Alcoitão "A"</v>
      </c>
      <c r="AS23" s="32">
        <f>VLOOKUP(AR23,X22:AF25,9,FALSE)</f>
        <v>4</v>
      </c>
      <c r="AU23" s="33"/>
      <c r="AV23" s="34" t="str">
        <f>AR23</f>
        <v>Alcoitão "A"</v>
      </c>
      <c r="AW23" s="35">
        <f>AS23</f>
        <v>4</v>
      </c>
      <c r="AX23" s="32">
        <f>VLOOKUP(AV23,X22:AF25,8,FALSE)</f>
        <v>2</v>
      </c>
      <c r="AY23" s="30" t="str">
        <f>IF(AND(AW22=AW23,AX23&gt;AX22),AV22,AV23)</f>
        <v>Alcoitão "A"</v>
      </c>
      <c r="AZ23" s="32">
        <f>VLOOKUP(AY23,X22:AF25,9,FALSE)</f>
        <v>4</v>
      </c>
      <c r="BA23" s="32">
        <f>VLOOKUP(AY23,X22:AF25,8,FALSE)</f>
        <v>2</v>
      </c>
      <c r="BB23" s="30" t="str">
        <f>IF(AND(AZ23=AZ24,BA24&gt;BA23),AY24,AY23)</f>
        <v>Alcoitão "A"</v>
      </c>
      <c r="BC23" s="32"/>
      <c r="BD23" s="32"/>
      <c r="BF23" s="36">
        <f>AZ23</f>
        <v>4</v>
      </c>
      <c r="BG23" s="37" t="str">
        <f>BB23</f>
        <v>Alcoitão "A"</v>
      </c>
      <c r="BI23" s="13" t="str">
        <f>BG23</f>
        <v>Alcoitão "A"</v>
      </c>
      <c r="BJ23" s="26">
        <f>VLOOKUP(BI23,X22:AF25,2,FALSE)</f>
        <v>3</v>
      </c>
      <c r="BK23" s="27">
        <f>VLOOKUP(BI23,X22:AF25,3,FALSE)</f>
        <v>1</v>
      </c>
      <c r="BL23" s="27">
        <f>VLOOKUP(BI23,X22:AF25,4,FALSE)</f>
        <v>1</v>
      </c>
      <c r="BM23" s="27">
        <f>VLOOKUP(BI23,X22:AF25,5,FALSE)</f>
        <v>1</v>
      </c>
      <c r="BN23" s="27">
        <f>VLOOKUP(BI23,X22:AF25,6,FALSE)</f>
        <v>5</v>
      </c>
      <c r="BO23" s="27">
        <f>VLOOKUP(BI23,X22:AF25,7,FALSE)</f>
        <v>3</v>
      </c>
      <c r="BP23" s="27">
        <f>VLOOKUP(BI23,X22:AF25,8,FALSE)</f>
        <v>2</v>
      </c>
      <c r="BQ23" s="27">
        <f>VLOOKUP(BI23,X22:AF25,9,FALSE)</f>
        <v>4</v>
      </c>
      <c r="BR23" s="1" t="str">
        <f>BI23</f>
        <v>Alcoitão "A"</v>
      </c>
      <c r="BS23" s="1">
        <f>VLOOKUP(BR23,BI22:BQ25,9,FALSE)</f>
        <v>4</v>
      </c>
      <c r="BT23" s="1">
        <f>VLOOKUP(BR23,BI22:BQ25,8,FALSE)</f>
        <v>2</v>
      </c>
      <c r="BU23" s="28" t="str">
        <f>IF(AND(BS22=BS23,BT23&gt;BT22),BR22,BR23)</f>
        <v>Alcoitão "A"</v>
      </c>
      <c r="BV23" s="29">
        <f>VLOOKUP(BU23,BI22:BQ25,9,FALSE)</f>
        <v>4</v>
      </c>
      <c r="BW23" s="29">
        <f>VLOOKUP(BU23,BI22:BQ25,8,FALSE)</f>
        <v>2</v>
      </c>
      <c r="BX23" s="29" t="str">
        <f>IF(AND(BV23=BV25,BW25&gt;BW23),BU25,BU23)</f>
        <v>Alcoitão "A"</v>
      </c>
      <c r="BY23" s="1">
        <f>VLOOKUP(BX23,BI22:BQ25,9,FALSE)</f>
        <v>4</v>
      </c>
      <c r="BZ23" s="12">
        <f>VLOOKUP(BX23,BI22:BQ25,8,FALSE)</f>
        <v>2</v>
      </c>
      <c r="CA23" s="1" t="str">
        <f>IF(AND(BY23=BY24,BZ24&gt;BZ23),BX24,BX23)</f>
        <v>Alcoitão "A"</v>
      </c>
      <c r="CB23" s="1">
        <f>VLOOKUP(CA23,BI22:BQ25,9,FALSE)</f>
        <v>4</v>
      </c>
      <c r="CC23" s="1">
        <f>VLOOKUP(CA23,BI22:BQ25,8,FALSE)</f>
        <v>2</v>
      </c>
      <c r="CD23" s="12">
        <f>VLOOKUP(CA23,BI22:BQ25,6,FALSE)</f>
        <v>5</v>
      </c>
      <c r="CE23" s="28" t="str">
        <f>IF(AND(CB22=CB23,CC22=CC23,CD23&gt;CD22),CA22,CA23)</f>
        <v>Alcoitão "A"</v>
      </c>
      <c r="CF23" s="1">
        <f>VLOOKUP(CE23,BI22:BQ25,9,FALSE)</f>
        <v>4</v>
      </c>
      <c r="CG23" s="1">
        <f>VLOOKUP(CE23,BI22:BQ25,8,FALSE)</f>
        <v>2</v>
      </c>
      <c r="CH23" s="1">
        <f>VLOOKUP(CE23,BI22:BQ25,6,FALSE)</f>
        <v>5</v>
      </c>
      <c r="CI23" s="29" t="str">
        <f>IF(AND(CF23=CF25,CG23=CG25,CH25&gt;CH23),CE25,CE23)</f>
        <v>Alcoitão "A"</v>
      </c>
      <c r="CJ23" s="1">
        <f>VLOOKUP(CI23,BI22:BQ25,9,FALSE)</f>
        <v>4</v>
      </c>
      <c r="CK23" s="1">
        <f>VLOOKUP(CI23,BI22:BQ25,8,FALSE)</f>
        <v>2</v>
      </c>
      <c r="CL23" s="1">
        <f>VLOOKUP(CI23,BI22:BQ25,6,FALSE)</f>
        <v>5</v>
      </c>
      <c r="CM23" s="29" t="str">
        <f>IF(AND(CJ23=CJ24,CK23=CK24,CL24&gt;CL23),CI24,CI23)</f>
        <v>Alcoitão "A"</v>
      </c>
      <c r="CN23" s="1">
        <f>VLOOKUP(CM23,BI22:BQ25,9,FALSE)</f>
        <v>4</v>
      </c>
      <c r="CO23" s="1">
        <f>VLOOKUP(CM23,BI22:BQ25,8,FALSE)</f>
        <v>2</v>
      </c>
      <c r="CP23" s="1">
        <f>VLOOKUP(CM23,BI22:BQ25,6,FALSE)</f>
        <v>5</v>
      </c>
      <c r="CQ23" s="13" t="str">
        <f>CM23</f>
        <v>Alcoitão "A"</v>
      </c>
      <c r="CR23" s="26">
        <f>VLOOKUP(CQ23,$X$22:$AF$25,2,FALSE)</f>
        <v>3</v>
      </c>
      <c r="CS23" s="27">
        <f>VLOOKUP(CQ23,$X$22:$AF$25,3,FALSE)</f>
        <v>1</v>
      </c>
      <c r="CT23" s="27">
        <f>VLOOKUP(CQ23,$X$22:$AF$25,4,FALSE)</f>
        <v>1</v>
      </c>
      <c r="CU23" s="27">
        <f>VLOOKUP(CQ23,$X$22:$AF$25,5,FALSE)</f>
        <v>1</v>
      </c>
      <c r="CV23" s="27">
        <f>VLOOKUP(CQ23,$X$22:$AF$25,6,FALSE)</f>
        <v>5</v>
      </c>
      <c r="CW23" s="27">
        <f>VLOOKUP(CQ23,$X$22:$AF$25,7,FALSE)</f>
        <v>3</v>
      </c>
      <c r="CX23" s="27">
        <f>VLOOKUP(CQ23,$X$22:$AF$25,8,FALSE)</f>
        <v>2</v>
      </c>
      <c r="CY23" s="27">
        <f>VLOOKUP(CQ23,$X$22:$AF$25,9,FALSE)</f>
        <v>4</v>
      </c>
      <c r="DA23" s="1" t="str">
        <f>IF(ISNA(VLOOKUP(CQ23,K$6:L$25,1,FALSE))=TRUE,CM25,VLOOKUP(CQ23,K$6:L$25,1,FALSE))</f>
        <v>Alcoitão "A"</v>
      </c>
      <c r="DB23" s="1" t="str">
        <f>IF(ISNA(VLOOKUP(CQ23,K$6:L$25,2,FALSE))=TRUE,CM25,VLOOKUP(CQ23,K$6:L$25,2,FALSE))</f>
        <v>S. J. Brito</v>
      </c>
      <c r="DD23" s="1" t="str">
        <f>IF(DD22=CM23,CM22,IF(AND(CR24=CR23,CY24=CY23,DA24=CM24,DB24=CM23),DA24,CM23))</f>
        <v>Alcoitão "A"</v>
      </c>
      <c r="DE23" s="26">
        <f>VLOOKUP(DD23,$X$22:$AF$25,2,FALSE)</f>
        <v>3</v>
      </c>
      <c r="DF23" s="27">
        <f>VLOOKUP(DD23,$X$22:$AF$25,3,FALSE)</f>
        <v>1</v>
      </c>
      <c r="DG23" s="27">
        <f>VLOOKUP(DD23,$X$22:$AF$25,4,FALSE)</f>
        <v>1</v>
      </c>
      <c r="DH23" s="27">
        <f>VLOOKUP(DD23,$X$22:$AF$25,5,FALSE)</f>
        <v>1</v>
      </c>
      <c r="DI23" s="27">
        <f>VLOOKUP(DD23,$X$22:$AF$25,6,FALSE)</f>
        <v>5</v>
      </c>
      <c r="DJ23" s="27">
        <f>VLOOKUP(DD23,$X$22:$AF$25,7,FALSE)</f>
        <v>3</v>
      </c>
      <c r="DK23" s="27">
        <f>VLOOKUP(DD23,$X$22:$AF$25,8,FALSE)</f>
        <v>2</v>
      </c>
      <c r="DL23" s="27">
        <f>VLOOKUP(DD23,$X$22:$AF$25,9,FALSE)</f>
        <v>4</v>
      </c>
    </row>
    <row r="24" spans="2:116" ht="22.5" customHeight="1" x14ac:dyDescent="0.3">
      <c r="B24" s="96">
        <v>19</v>
      </c>
      <c r="C24" s="86">
        <v>45098</v>
      </c>
      <c r="D24" s="87">
        <v>0.70833333333333337</v>
      </c>
      <c r="E24" s="149" t="str">
        <f>Y20</f>
        <v>Trajouce</v>
      </c>
      <c r="F24" s="3">
        <v>1</v>
      </c>
      <c r="G24" s="3">
        <v>3</v>
      </c>
      <c r="H24" s="148" t="str">
        <f>Z20</f>
        <v>Carcavelos</v>
      </c>
      <c r="I24" s="171" t="s">
        <v>89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95</v>
      </c>
      <c r="Y24" s="15">
        <f>DCOUNT($E$5:$F$29,$F$5,$Z26:$Z27)+DCOUNT($G$5:$H$29,$G$5,$Z26:$Z27)</f>
        <v>3</v>
      </c>
      <c r="Z24" s="15">
        <f>COUNTIF($K$6:$K$35,Z27)</f>
        <v>1</v>
      </c>
      <c r="AA24" s="15">
        <f>Y24-Z24-AB24</f>
        <v>1</v>
      </c>
      <c r="AB24" s="15">
        <f>COUNTIF($L$6:$L$35,Z27)</f>
        <v>1</v>
      </c>
      <c r="AC24" s="15">
        <f>DSUM($E$5:$F$29,$F$5,$Z26:$Z27)+DSUM($G$5:$H$29,$G$5,$Z26:$Z27)</f>
        <v>5</v>
      </c>
      <c r="AD24" s="15">
        <f>DSUM($E$5:$G$29,$G$5,$Z26:$Z27)+DSUM($F$5:$H$29,$F$5,$Z26:$Z27)</f>
        <v>3</v>
      </c>
      <c r="AE24" s="15">
        <f>AC24-AD24</f>
        <v>2</v>
      </c>
      <c r="AF24" s="16">
        <f>Z24*3+AA24*1</f>
        <v>4</v>
      </c>
      <c r="AH24" s="31" t="str">
        <f>X24</f>
        <v>Alcoitão "A"</v>
      </c>
      <c r="AI24" s="32">
        <f>AF24</f>
        <v>4</v>
      </c>
      <c r="AJ24" s="10" t="str">
        <f>AH24</f>
        <v>Alcoitão "A"</v>
      </c>
      <c r="AK24" s="32">
        <f>VLOOKUP(AJ24,X22:AF25,9,FALSE)</f>
        <v>4</v>
      </c>
      <c r="AL24" s="30" t="str">
        <f>IF(AK24&lt;=AK22,AJ24,AJ22)</f>
        <v>Alcoitão "A"</v>
      </c>
      <c r="AM24" s="32">
        <f>VLOOKUP(AL24,X22:AF25,9,FALSE)</f>
        <v>4</v>
      </c>
      <c r="AN24" s="10" t="str">
        <f>AL24</f>
        <v>Alcoitão "A"</v>
      </c>
      <c r="AO24" s="32">
        <f>VLOOKUP(AN24,X22:AF25,9,FALSE)</f>
        <v>4</v>
      </c>
      <c r="AP24" s="30" t="str">
        <f>IF(AO24&lt;=AO23,AN24,AN23)</f>
        <v>Maristas</v>
      </c>
      <c r="AQ24" s="32">
        <f>VLOOKUP(AP24,X22:AF25,9,FALSE)</f>
        <v>1</v>
      </c>
      <c r="AR24" s="10" t="str">
        <f>AP24</f>
        <v>Maristas</v>
      </c>
      <c r="AS24" s="32">
        <f>VLOOKUP(AR24,X22:AF25,9,FALSE)</f>
        <v>1</v>
      </c>
      <c r="AT24" s="30" t="str">
        <f>IF(AS24&gt;=AS25,AR24,AR25)</f>
        <v>S. J. Brito</v>
      </c>
      <c r="AU24" s="38">
        <f>VLOOKUP(AT24,X22:AF25,9,FALSE)</f>
        <v>3</v>
      </c>
      <c r="AV24" s="34" t="str">
        <f>AT24</f>
        <v>S. J. Brito</v>
      </c>
      <c r="AW24" s="35">
        <f>AU24</f>
        <v>3</v>
      </c>
      <c r="AX24" s="32">
        <f>VLOOKUP(AV24,X22:AF25,8,FALSE)</f>
        <v>-4</v>
      </c>
      <c r="AY24" s="10" t="str">
        <f>AV24</f>
        <v>S. J. Brito</v>
      </c>
      <c r="AZ24" s="32">
        <f>VLOOKUP(AY24,X22:AF25,9,FALSE)</f>
        <v>3</v>
      </c>
      <c r="BA24" s="32">
        <f>VLOOKUP(AY24,X22:AF25,8,FALSE)</f>
        <v>-4</v>
      </c>
      <c r="BB24" s="30" t="str">
        <f>IF(AND(AZ23=AZ24,BA24&gt;BA23),AY23,AY24)</f>
        <v>S. J. Brito</v>
      </c>
      <c r="BC24" s="32">
        <f>VLOOKUP(BB24,X22:AF25,9,FALSE)</f>
        <v>3</v>
      </c>
      <c r="BD24" s="32">
        <f>VLOOKUP(BB24,X22:AF25,8,FALSE)</f>
        <v>-4</v>
      </c>
      <c r="BE24" s="30" t="str">
        <f>IF(AND(BC24=BC25,BD25&gt;BD24),BB25,BB24)</f>
        <v>S. J. Brito</v>
      </c>
      <c r="BF24" s="36">
        <f>BC24</f>
        <v>3</v>
      </c>
      <c r="BG24" s="37" t="str">
        <f>BE24</f>
        <v>S. J. Brito</v>
      </c>
      <c r="BI24" s="13" t="str">
        <f>BG24</f>
        <v>S. J. Brito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3</v>
      </c>
      <c r="BO24" s="27">
        <f>VLOOKUP(BI24,X22:AF25,7,FALSE)</f>
        <v>7</v>
      </c>
      <c r="BP24" s="27">
        <f>VLOOKUP(BI24,X22:AF25,8,FALSE)</f>
        <v>-4</v>
      </c>
      <c r="BQ24" s="27">
        <f>VLOOKUP(BI24,X22:AF25,9,FALSE)</f>
        <v>3</v>
      </c>
      <c r="BR24" s="1" t="str">
        <f>BI24</f>
        <v>S. J. Brito</v>
      </c>
      <c r="BS24" s="1">
        <f>VLOOKUP(BR24,BI22:BQ25,9,FALSE)</f>
        <v>3</v>
      </c>
      <c r="BT24" s="1">
        <f>VLOOKUP(BR24,BI22:BQ25,8,FALSE)</f>
        <v>-4</v>
      </c>
      <c r="BU24" s="29" t="str">
        <f>IF(AND(BS24=BS25,BT25&gt;BT24),BR25,BR24)</f>
        <v>S. J. Brito</v>
      </c>
      <c r="BV24" s="29">
        <f>VLOOKUP(BU24,BI22:BQ25,9,FALSE)</f>
        <v>3</v>
      </c>
      <c r="BW24" s="29">
        <f>VLOOKUP(BU24,BI22:BQ25,8,FALSE)</f>
        <v>-4</v>
      </c>
      <c r="BX24" s="28" t="str">
        <f>IF(AND(BV22=BV24,BW24&gt;BW22),BU22,BU24)</f>
        <v>S. J. Brito</v>
      </c>
      <c r="BY24" s="1">
        <f>VLOOKUP(BX24,BI22:BQ25,9,FALSE)</f>
        <v>3</v>
      </c>
      <c r="BZ24" s="12">
        <f>VLOOKUP(BX24,BI22:BQ25,8,FALSE)</f>
        <v>-4</v>
      </c>
      <c r="CA24" s="1" t="str">
        <f>IF(AND(BY23=BY24,BZ24&gt;BZ23),BX23,BX24)</f>
        <v>S. J. Brito</v>
      </c>
      <c r="CB24" s="1">
        <f>VLOOKUP(CA24,BI22:BQ25,9,FALSE)</f>
        <v>3</v>
      </c>
      <c r="CC24" s="1">
        <f>VLOOKUP(CA24,BI22:BQ25,8,FALSE)</f>
        <v>-4</v>
      </c>
      <c r="CD24" s="12">
        <f>VLOOKUP(CA24,BI22:BQ25,6,FALSE)</f>
        <v>3</v>
      </c>
      <c r="CE24" s="29" t="str">
        <f>IF(AND(CB24=CB25,CC24=CC25,CD25&gt;CD24),CA25,CA24)</f>
        <v>S. J. Brito</v>
      </c>
      <c r="CF24" s="1">
        <f>VLOOKUP(CE24,BI22:BQ25,9,FALSE)</f>
        <v>3</v>
      </c>
      <c r="CG24" s="1">
        <f>VLOOKUP(CE24,BI22:BQ25,8,FALSE)</f>
        <v>-4</v>
      </c>
      <c r="CH24" s="1">
        <f>VLOOKUP(CE24,BI22:BQ25,6,FALSE)</f>
        <v>3</v>
      </c>
      <c r="CI24" s="28" t="str">
        <f>IF(AND(CF22=CF24,CG22=CG24,CH24&gt;CH22),CE22,CE24)</f>
        <v>S. J. Brito</v>
      </c>
      <c r="CJ24" s="1">
        <f>VLOOKUP(CI24,BI22:BQ25,9,FALSE)</f>
        <v>3</v>
      </c>
      <c r="CK24" s="1">
        <f>VLOOKUP(CI24,BI22:BQ25,8,FALSE)</f>
        <v>-4</v>
      </c>
      <c r="CL24" s="1">
        <f>VLOOKUP(CI24,BI22:BQ25,6,FALSE)</f>
        <v>3</v>
      </c>
      <c r="CM24" s="29" t="str">
        <f>IF(AND(CJ23=CJ24,CK23=CK24,CL24&gt;CL23),CI23,CI24)</f>
        <v>S. J. Brito</v>
      </c>
      <c r="CN24" s="1">
        <f>VLOOKUP(CM24,BI22:BQ25,9,FALSE)</f>
        <v>3</v>
      </c>
      <c r="CO24" s="1">
        <f>VLOOKUP(CM24,BI22:BQ25,8,FALSE)</f>
        <v>-4</v>
      </c>
      <c r="CP24" s="1">
        <f>VLOOKUP(CM24,BI22:BQ25,6,FALSE)</f>
        <v>3</v>
      </c>
      <c r="CQ24" s="13" t="str">
        <f>CM24</f>
        <v>S. J. Brito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3</v>
      </c>
      <c r="CW24" s="27">
        <f>VLOOKUP(CQ24,$X$22:$AF$25,7,FALSE)</f>
        <v>7</v>
      </c>
      <c r="CX24" s="27">
        <f>VLOOKUP(CQ24,$X$22:$AF$25,8,FALSE)</f>
        <v>-4</v>
      </c>
      <c r="CY24" s="27">
        <f>VLOOKUP(CQ24,$X$22:$AF$25,9,FALSE)</f>
        <v>3</v>
      </c>
      <c r="DA24" s="1" t="str">
        <f>IF(ISNA(VLOOKUP(CQ24,K$6:L$25,1,FALSE))=TRUE,CM25,VLOOKUP(CQ24,K$6:L$25,1,FALSE))</f>
        <v>S. J. Brito</v>
      </c>
      <c r="DB24" s="1" t="str">
        <f>IF(ISNA(VLOOKUP(CQ24,K$6:L$25,2,FALSE))=TRUE,CM25,VLOOKUP(CQ24,K$6:L$25,2,FALSE))</f>
        <v>Maristas</v>
      </c>
      <c r="DD24" s="1" t="str">
        <f>IF(DD23=CM24,CM23,IF(AND(CR25=CR24,CY25=CY24,DA25=CM25,DB25=CM24),DA25,CM24))</f>
        <v>S. J. Brito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3</v>
      </c>
      <c r="DJ24" s="27">
        <f>VLOOKUP(DD24,$X$22:$AF$25,7,FALSE)</f>
        <v>7</v>
      </c>
      <c r="DK24" s="27">
        <f>VLOOKUP(DD24,$X$22:$AF$25,8,FALSE)</f>
        <v>-4</v>
      </c>
      <c r="DL24" s="27">
        <f>VLOOKUP(DD24,$X$22:$AF$25,9,FALSE)</f>
        <v>3</v>
      </c>
    </row>
    <row r="25" spans="2:116" ht="22.5" customHeight="1" x14ac:dyDescent="0.3">
      <c r="B25" s="96">
        <v>20</v>
      </c>
      <c r="C25" s="86">
        <v>45098</v>
      </c>
      <c r="D25" s="87">
        <v>0.70833333333333337</v>
      </c>
      <c r="E25" s="149" t="str">
        <f>X20</f>
        <v>Real SC</v>
      </c>
      <c r="F25" s="3">
        <v>3</v>
      </c>
      <c r="G25" s="3">
        <v>1</v>
      </c>
      <c r="H25" s="148" t="str">
        <f>AA20</f>
        <v>Alcoitão "B"</v>
      </c>
      <c r="I25" s="171" t="s">
        <v>66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2" t="str">
        <f t="shared" ref="N25:V28" si="7">DD29</f>
        <v>Torre</v>
      </c>
      <c r="O25" s="135">
        <f t="shared" si="7"/>
        <v>3</v>
      </c>
      <c r="P25" s="136">
        <f t="shared" si="7"/>
        <v>3</v>
      </c>
      <c r="Q25" s="136">
        <f t="shared" si="7"/>
        <v>0</v>
      </c>
      <c r="R25" s="136">
        <f t="shared" si="7"/>
        <v>0</v>
      </c>
      <c r="S25" s="136">
        <f t="shared" si="7"/>
        <v>10</v>
      </c>
      <c r="T25" s="136">
        <f t="shared" si="7"/>
        <v>1</v>
      </c>
      <c r="U25" s="136">
        <f t="shared" si="7"/>
        <v>9</v>
      </c>
      <c r="V25" s="137">
        <f t="shared" si="7"/>
        <v>9</v>
      </c>
      <c r="X25" s="4" t="s">
        <v>85</v>
      </c>
      <c r="Y25" s="39">
        <f>DCOUNT($E$5:$F$29,$F$5,$AA26:$AA27)+DCOUNT($G$5:$H$29,$G$5,$AA26:$AA27)</f>
        <v>3</v>
      </c>
      <c r="Z25" s="39">
        <f>COUNTIF($K$6:$K$35,AA27)</f>
        <v>1</v>
      </c>
      <c r="AA25" s="39">
        <f>Y25-Z25-AB25</f>
        <v>0</v>
      </c>
      <c r="AB25" s="39">
        <f>COUNTIF($L$6:$L$35,AA27)</f>
        <v>2</v>
      </c>
      <c r="AC25" s="39">
        <f>DSUM($E$5:$F$29,$F$5,$AA26:$AA27)+DSUM($G$5:$H$29,$G$5,$AA26:$AA27)</f>
        <v>3</v>
      </c>
      <c r="AD25" s="39">
        <f>DSUM($E$5:$G$29,$G$5,$AA26:$AA27)+DSUM($F$5:$H$29,$F$5,$AA26:$AA27)</f>
        <v>7</v>
      </c>
      <c r="AE25" s="39">
        <f>AC25-AD25</f>
        <v>-4</v>
      </c>
      <c r="AF25" s="40">
        <f>Z25*3+AA25*1</f>
        <v>3</v>
      </c>
      <c r="AH25" s="41" t="str">
        <f>X25</f>
        <v>S. J. Brito</v>
      </c>
      <c r="AI25" s="42">
        <f>AF25</f>
        <v>3</v>
      </c>
      <c r="AJ25" s="43" t="str">
        <f>AH25</f>
        <v>S. J. Brito</v>
      </c>
      <c r="AK25" s="42">
        <f>VLOOKUP(AJ25,X22:AF25,9,FALSE)</f>
        <v>3</v>
      </c>
      <c r="AL25" s="43" t="str">
        <f>AJ25</f>
        <v>S. J. Brito</v>
      </c>
      <c r="AM25" s="42">
        <f>VLOOKUP(AL25,X22:AF25,9,FALSE)</f>
        <v>3</v>
      </c>
      <c r="AN25" s="44" t="str">
        <f>IF(AM25&lt;=AM22,AL25,AL22)</f>
        <v>S. J. Brito</v>
      </c>
      <c r="AO25" s="42">
        <f>VLOOKUP(AN25,X22:AF25,9,FALSE)</f>
        <v>3</v>
      </c>
      <c r="AP25" s="43" t="str">
        <f>AN25</f>
        <v>S. J. Brito</v>
      </c>
      <c r="AQ25" s="42">
        <f>VLOOKUP(AP25,X22:AF25,9,FALSE)</f>
        <v>3</v>
      </c>
      <c r="AR25" s="44" t="str">
        <f>IF(AQ25&lt;=AQ23,AP25,AP23)</f>
        <v>S. J. Brito</v>
      </c>
      <c r="AS25" s="42">
        <f>VLOOKUP(AR25,X22:AF25,9,FALSE)</f>
        <v>3</v>
      </c>
      <c r="AT25" s="44" t="str">
        <f>IF(AS25&lt;=AS24,AR25,AR24)</f>
        <v>Maristas</v>
      </c>
      <c r="AU25" s="45">
        <f>VLOOKUP(AT25,X22:AF25,9,FALSE)</f>
        <v>1</v>
      </c>
      <c r="AV25" s="46" t="str">
        <f>AT25</f>
        <v>Maristas</v>
      </c>
      <c r="AW25" s="47">
        <f>AU25</f>
        <v>1</v>
      </c>
      <c r="AX25" s="42">
        <f>VLOOKUP(AV25,X22:AF25,8,FALSE)</f>
        <v>-4</v>
      </c>
      <c r="AY25" s="43" t="str">
        <f>AV25</f>
        <v>Maristas</v>
      </c>
      <c r="AZ25" s="42">
        <f>VLOOKUP(AY25,X22:AF25,9,FALSE)</f>
        <v>1</v>
      </c>
      <c r="BA25" s="42">
        <f>VLOOKUP(AY25,X22:AF25,8,FALSE)</f>
        <v>-4</v>
      </c>
      <c r="BB25" s="43" t="str">
        <f>AY25</f>
        <v>Maristas</v>
      </c>
      <c r="BC25" s="42">
        <f>VLOOKUP(BB25,X22:AF25,9,FALSE)</f>
        <v>1</v>
      </c>
      <c r="BD25" s="42">
        <f>VLOOKUP(BB25,X22:AF25,8,FALSE)</f>
        <v>-4</v>
      </c>
      <c r="BE25" s="44" t="str">
        <f>IF(AND(BC24=BC25,BD25&gt;BD24),BB24,BB25)</f>
        <v>Maristas</v>
      </c>
      <c r="BF25" s="48">
        <f>VLOOKUP(BE25,X22:AF25,9,FALSE)</f>
        <v>1</v>
      </c>
      <c r="BG25" s="49" t="str">
        <f>BE25</f>
        <v>Maristas</v>
      </c>
      <c r="BI25" s="13" t="str">
        <f>BG25</f>
        <v>Maristas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1</v>
      </c>
      <c r="BM25" s="27">
        <f>VLOOKUP(BI25,X22:AF25,5,FALSE)</f>
        <v>2</v>
      </c>
      <c r="BN25" s="27">
        <f>VLOOKUP(BI25,X22:AF25,6,FALSE)</f>
        <v>2</v>
      </c>
      <c r="BO25" s="27">
        <f>VLOOKUP(BI25,X22:AF25,7,FALSE)</f>
        <v>6</v>
      </c>
      <c r="BP25" s="27">
        <f>VLOOKUP(BI25,X22:AF25,8,FALSE)</f>
        <v>-4</v>
      </c>
      <c r="BQ25" s="27">
        <f>VLOOKUP(BI25,X22:AF25,9,FALSE)</f>
        <v>1</v>
      </c>
      <c r="BR25" s="1" t="str">
        <f>BI25</f>
        <v>Maristas</v>
      </c>
      <c r="BS25" s="1">
        <f>VLOOKUP(BR25,BI22:BQ25,9,FALSE)</f>
        <v>1</v>
      </c>
      <c r="BT25" s="1">
        <f>VLOOKUP(BR25,BI22:BQ25,8,FALSE)</f>
        <v>-4</v>
      </c>
      <c r="BU25" s="29" t="str">
        <f>IF(AND(BS24=BS25,BT25&gt;BT24),BR24,BR25)</f>
        <v>Maristas</v>
      </c>
      <c r="BV25" s="29">
        <f>VLOOKUP(BU25,BI22:BQ25,9,FALSE)</f>
        <v>1</v>
      </c>
      <c r="BW25" s="29">
        <f>VLOOKUP(BU25,BI22:BQ25,8,FALSE)</f>
        <v>-4</v>
      </c>
      <c r="BX25" s="29" t="str">
        <f>IF(AND(BV23=BV25,BW25&gt;BW23),BU23,BU25)</f>
        <v>Maristas</v>
      </c>
      <c r="BY25" s="1">
        <f>VLOOKUP(BX25,BI22:BQ25,9,FALSE)</f>
        <v>1</v>
      </c>
      <c r="BZ25" s="12">
        <f>VLOOKUP(BX25,BI22:BQ25,8,FALSE)</f>
        <v>-4</v>
      </c>
      <c r="CA25" s="30" t="str">
        <f>IF(AND(BY22=BY25,BZ25&gt;BZ22),BX22,BX25)</f>
        <v>Maristas</v>
      </c>
      <c r="CB25" s="1">
        <f>VLOOKUP(CA25,BI22:BQ25,9,FALSE)</f>
        <v>1</v>
      </c>
      <c r="CC25" s="1">
        <f>VLOOKUP(CA25,BI22:BQ25,8,FALSE)</f>
        <v>-4</v>
      </c>
      <c r="CD25" s="12">
        <f>VLOOKUP(CA25,BI22:BQ25,6,FALSE)</f>
        <v>2</v>
      </c>
      <c r="CE25" s="29" t="str">
        <f>IF(AND(CB24=CB25,CC24=CC25,CD25&gt;CD24),CA24,CA25)</f>
        <v>Maristas</v>
      </c>
      <c r="CF25" s="1">
        <f>VLOOKUP(CE25,BI22:BQ25,9,FALSE)</f>
        <v>1</v>
      </c>
      <c r="CG25" s="1">
        <f>VLOOKUP(CE25,BI22:BQ25,8,FALSE)</f>
        <v>-4</v>
      </c>
      <c r="CH25" s="1">
        <f>VLOOKUP(CE25,BI22:BQ25,6,FALSE)</f>
        <v>2</v>
      </c>
      <c r="CI25" s="29" t="str">
        <f>IF(AND(CF23=CF25,CG23=CG25,CH25&gt;CH23),CE23,CE25)</f>
        <v>Maristas</v>
      </c>
      <c r="CJ25" s="1">
        <f>VLOOKUP(CI25,BI22:BQ25,9,FALSE)</f>
        <v>1</v>
      </c>
      <c r="CK25" s="1">
        <f>VLOOKUP(CI25,BI22:BQ25,8,FALSE)</f>
        <v>-4</v>
      </c>
      <c r="CL25" s="1">
        <f>VLOOKUP(CI25,BI22:BQ25,6,FALSE)</f>
        <v>2</v>
      </c>
      <c r="CM25" s="28" t="str">
        <f>IF(AND(CJ22=CJ25,CK22=CK25,CL25&gt;CL22),CI22,CI25)</f>
        <v>Maristas</v>
      </c>
      <c r="CN25" s="1">
        <f>VLOOKUP(CM25,BI22:BQ25,9,FALSE)</f>
        <v>1</v>
      </c>
      <c r="CO25" s="1">
        <f>VLOOKUP(CM25,BI22:BQ25,8,FALSE)</f>
        <v>-4</v>
      </c>
      <c r="CP25" s="1">
        <f>VLOOKUP(CM25,BI22:BQ25,6,FALSE)</f>
        <v>2</v>
      </c>
      <c r="CQ25" s="13" t="str">
        <f>CM25</f>
        <v>Maristas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1</v>
      </c>
      <c r="CU25" s="27">
        <f>VLOOKUP(CQ25,$X$22:$AF$25,5,FALSE)</f>
        <v>2</v>
      </c>
      <c r="CV25" s="27">
        <f>VLOOKUP(CQ25,$X$22:$AF$25,6,FALSE)</f>
        <v>2</v>
      </c>
      <c r="CW25" s="27">
        <f>VLOOKUP(CQ25,$X$22:$AF$25,7,FALSE)</f>
        <v>6</v>
      </c>
      <c r="CX25" s="27">
        <f>VLOOKUP(CQ25,$X$22:$AF$25,8,FALSE)</f>
        <v>-4</v>
      </c>
      <c r="CY25" s="27">
        <f>VLOOKUP(CQ25,$X$22:$AF$25,9,FALSE)</f>
        <v>1</v>
      </c>
      <c r="DA25" s="1" t="str">
        <f>IF(ISNA(VLOOKUP(CQ25,K$6:L$25,1,FALSE))=TRUE,CM25,VLOOKUP(CQ25,K$6:L$25,1,FALSE))</f>
        <v>Maristas</v>
      </c>
      <c r="DB25" s="1" t="str">
        <f>IF(ISNA(VLOOKUP(CQ25,K$6:L$25,2,FALSE))=TRUE,CM25,VLOOKUP(CQ25,K$6:L$25,2,FALSE))</f>
        <v>Maristas</v>
      </c>
      <c r="DD25" s="1" t="str">
        <f>IF(DD24=CM25,CM24,IF(AND(CR26=CR25,CY26=CY25,DA26=CM26,DB26=CM25),DA26,CM25))</f>
        <v>Maristas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1</v>
      </c>
      <c r="DH25" s="27">
        <f>VLOOKUP(DD25,$X$22:$AF$25,5,FALSE)</f>
        <v>2</v>
      </c>
      <c r="DI25" s="27">
        <f>VLOOKUP(DD25,$X$22:$AF$25,6,FALSE)</f>
        <v>2</v>
      </c>
      <c r="DJ25" s="27">
        <f>VLOOKUP(DD25,$X$22:$AF$25,7,FALSE)</f>
        <v>6</v>
      </c>
      <c r="DK25" s="27">
        <f>VLOOKUP(DD25,$X$22:$AF$25,8,FALSE)</f>
        <v>-4</v>
      </c>
      <c r="DL25" s="27">
        <f>VLOOKUP(DD25,$X$22:$AF$25,9,FALSE)</f>
        <v>1</v>
      </c>
    </row>
    <row r="26" spans="2:116" ht="22.5" customHeight="1" x14ac:dyDescent="0.3">
      <c r="B26" s="96">
        <v>21</v>
      </c>
      <c r="C26" s="89">
        <v>45098</v>
      </c>
      <c r="D26" s="90">
        <v>0.70833333333333337</v>
      </c>
      <c r="E26" s="151" t="str">
        <f>Y27</f>
        <v>Maristas</v>
      </c>
      <c r="F26" s="3">
        <v>1</v>
      </c>
      <c r="G26" s="3">
        <v>1</v>
      </c>
      <c r="H26" s="150" t="str">
        <f>Z27</f>
        <v>Alcoitão "A"</v>
      </c>
      <c r="I26" s="172" t="s">
        <v>88</v>
      </c>
      <c r="J26" s="91" t="s">
        <v>10</v>
      </c>
      <c r="K26" s="6" t="str">
        <f t="shared" ref="K26:K33" si="8">IF(F22&lt;&gt;"",IF(F22&gt;G22,E22,IF(G22&gt;F22,H22,"Empate")),"")</f>
        <v>Estoril AC</v>
      </c>
      <c r="L26" s="6" t="str">
        <f t="shared" ref="L26:L33" si="9">IF(F22&lt;&gt;"",IF(F22&lt;G22,E22,IF(G22&lt;F22,H22,"Empate")),"")</f>
        <v>Tires</v>
      </c>
      <c r="N26" s="163" t="str">
        <f t="shared" si="7"/>
        <v>ADCEO</v>
      </c>
      <c r="O26" s="138">
        <f t="shared" si="7"/>
        <v>3</v>
      </c>
      <c r="P26" s="139">
        <f t="shared" si="7"/>
        <v>2</v>
      </c>
      <c r="Q26" s="139">
        <f t="shared" si="7"/>
        <v>0</v>
      </c>
      <c r="R26" s="139">
        <f t="shared" si="7"/>
        <v>1</v>
      </c>
      <c r="S26" s="139">
        <f t="shared" si="7"/>
        <v>8</v>
      </c>
      <c r="T26" s="139">
        <f t="shared" si="7"/>
        <v>5</v>
      </c>
      <c r="U26" s="139">
        <f t="shared" si="7"/>
        <v>3</v>
      </c>
      <c r="V26" s="140">
        <f t="shared" si="7"/>
        <v>6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45098</v>
      </c>
      <c r="D27" s="90">
        <v>0.70833333333333337</v>
      </c>
      <c r="E27" s="151" t="str">
        <f>X27</f>
        <v>Oeiras</v>
      </c>
      <c r="F27" s="3">
        <v>2</v>
      </c>
      <c r="G27" s="3">
        <v>0</v>
      </c>
      <c r="H27" s="150" t="str">
        <f>AA27</f>
        <v>S. J. Brito</v>
      </c>
      <c r="I27" s="172" t="s">
        <v>97</v>
      </c>
      <c r="J27" s="91" t="s">
        <v>10</v>
      </c>
      <c r="K27" s="6" t="str">
        <f t="shared" si="8"/>
        <v>SL Benfica</v>
      </c>
      <c r="L27" s="6" t="str">
        <f t="shared" si="9"/>
        <v>Porto Salvo "A"</v>
      </c>
      <c r="N27" s="163" t="str">
        <f t="shared" si="7"/>
        <v>Cascais</v>
      </c>
      <c r="O27" s="138">
        <f t="shared" si="7"/>
        <v>3</v>
      </c>
      <c r="P27" s="139">
        <f t="shared" si="7"/>
        <v>1</v>
      </c>
      <c r="Q27" s="139">
        <f t="shared" si="7"/>
        <v>0</v>
      </c>
      <c r="R27" s="139">
        <f t="shared" si="7"/>
        <v>2</v>
      </c>
      <c r="S27" s="139">
        <f t="shared" si="7"/>
        <v>2</v>
      </c>
      <c r="T27" s="139">
        <f t="shared" si="7"/>
        <v>7</v>
      </c>
      <c r="U27" s="139">
        <f t="shared" si="7"/>
        <v>-5</v>
      </c>
      <c r="V27" s="140">
        <f t="shared" si="7"/>
        <v>3</v>
      </c>
      <c r="X27" s="15" t="s">
        <v>87</v>
      </c>
      <c r="Y27" s="15" t="s">
        <v>84</v>
      </c>
      <c r="Z27" s="15" t="s">
        <v>95</v>
      </c>
      <c r="AA27" s="15" t="s">
        <v>85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45098</v>
      </c>
      <c r="D28" s="93">
        <v>0.70833333333333337</v>
      </c>
      <c r="E28" s="153" t="str">
        <f>Y34</f>
        <v>Cascais</v>
      </c>
      <c r="F28" s="3">
        <v>1</v>
      </c>
      <c r="G28" s="3">
        <v>0</v>
      </c>
      <c r="H28" s="152" t="str">
        <f>Z34</f>
        <v>Porto Salvo "B"</v>
      </c>
      <c r="I28" s="173" t="s">
        <v>65</v>
      </c>
      <c r="J28" s="94" t="s">
        <v>11</v>
      </c>
      <c r="K28" s="6" t="str">
        <f t="shared" si="8"/>
        <v>Carcavelos</v>
      </c>
      <c r="L28" s="6" t="str">
        <f t="shared" si="9"/>
        <v>Trajouce</v>
      </c>
      <c r="N28" s="164" t="str">
        <f t="shared" si="7"/>
        <v>Porto Salvo "B"</v>
      </c>
      <c r="O28" s="141">
        <f t="shared" si="7"/>
        <v>3</v>
      </c>
      <c r="P28" s="142">
        <f t="shared" si="7"/>
        <v>0</v>
      </c>
      <c r="Q28" s="142">
        <f t="shared" si="7"/>
        <v>0</v>
      </c>
      <c r="R28" s="142">
        <f t="shared" si="7"/>
        <v>3</v>
      </c>
      <c r="S28" s="142">
        <f t="shared" si="7"/>
        <v>0</v>
      </c>
      <c r="T28" s="142">
        <f t="shared" si="7"/>
        <v>7</v>
      </c>
      <c r="U28" s="142">
        <f t="shared" si="7"/>
        <v>-7</v>
      </c>
      <c r="V28" s="143">
        <f t="shared" si="7"/>
        <v>0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24</v>
      </c>
      <c r="C29" s="92">
        <v>45098</v>
      </c>
      <c r="D29" s="93">
        <v>0.70833333333333337</v>
      </c>
      <c r="E29" s="153" t="str">
        <f>X34</f>
        <v>ADCEO</v>
      </c>
      <c r="F29" s="3">
        <v>1</v>
      </c>
      <c r="G29" s="3">
        <v>4</v>
      </c>
      <c r="H29" s="152" t="str">
        <f>AA34</f>
        <v>Torre</v>
      </c>
      <c r="I29" s="173" t="s">
        <v>64</v>
      </c>
      <c r="J29" s="94" t="s">
        <v>11</v>
      </c>
      <c r="K29" s="6" t="str">
        <f t="shared" si="8"/>
        <v>Real SC</v>
      </c>
      <c r="L29" s="6" t="str">
        <f t="shared" si="9"/>
        <v>Alcoitão "B"</v>
      </c>
      <c r="N29" s="1"/>
      <c r="X29" s="14" t="s">
        <v>83</v>
      </c>
      <c r="Y29" s="15">
        <f>DCOUNT($E$5:$F$29,$F$5,$X33:$X34)+DCOUNT($G$5:$H$29,$G$5,$X33:$X34)</f>
        <v>3</v>
      </c>
      <c r="Z29" s="15">
        <f>COUNTIF($K$6:$K$35,X34)</f>
        <v>2</v>
      </c>
      <c r="AA29" s="15">
        <f>Y29-Z29-AB29</f>
        <v>0</v>
      </c>
      <c r="AB29" s="15">
        <f>COUNTIF($L$6:$L$35,X34)</f>
        <v>1</v>
      </c>
      <c r="AC29" s="15">
        <f>DSUM($E$5:$F$29,$F$5,$X33:$X34)+DSUM($G$5:$H$29,$G$5,$X33:$X34)</f>
        <v>8</v>
      </c>
      <c r="AD29" s="15">
        <f>DSUM($E$5:$G$29,$G$5,$X33:$X34)+DSUM($F$5:$H$29,$F$5,$X33:$X34)</f>
        <v>5</v>
      </c>
      <c r="AE29" s="15">
        <f>AC29-AD29</f>
        <v>3</v>
      </c>
      <c r="AF29" s="16">
        <f>Z29*3+AA29*1</f>
        <v>6</v>
      </c>
      <c r="AH29" s="17" t="str">
        <f>X29</f>
        <v>ADCEO</v>
      </c>
      <c r="AI29" s="18">
        <f>AF29</f>
        <v>6</v>
      </c>
      <c r="AJ29" s="19" t="str">
        <f>IF(AI29&gt;=AI30,AH29,AH30)</f>
        <v>ADCEO</v>
      </c>
      <c r="AK29" s="18">
        <f>VLOOKUP(AJ29,X29:AF32,9,FALSE)</f>
        <v>6</v>
      </c>
      <c r="AL29" s="19" t="str">
        <f>IF(AK29&gt;=AK31,AJ29,AJ31)</f>
        <v>ADCEO</v>
      </c>
      <c r="AM29" s="18">
        <f>VLOOKUP(AL29,X29:AF32,9,FALSE)</f>
        <v>6</v>
      </c>
      <c r="AN29" s="19" t="str">
        <f>IF(AM29&gt;=AM32,AL29,AL32)</f>
        <v>Torre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Torre</v>
      </c>
      <c r="AW29" s="23">
        <f>AO29</f>
        <v>9</v>
      </c>
      <c r="AX29" s="18">
        <f>VLOOKUP(AV29,X29:AF32,8,FALSE)</f>
        <v>9</v>
      </c>
      <c r="AY29" s="19" t="str">
        <f>IF(AND(AW29=AW30,AX30&gt;AX29),AV30,AV29)</f>
        <v>Torre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Torre</v>
      </c>
      <c r="BI29" s="13" t="str">
        <f>BG29</f>
        <v>Torre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10</v>
      </c>
      <c r="BO29" s="27">
        <f>VLOOKUP(BI29,X29:AF32,7,FALSE)</f>
        <v>1</v>
      </c>
      <c r="BP29" s="27">
        <f>VLOOKUP(BI29,X29:AF32,8,FALSE)</f>
        <v>9</v>
      </c>
      <c r="BQ29" s="27">
        <f>VLOOKUP(BI29,X29:AF32,9,FALSE)</f>
        <v>9</v>
      </c>
      <c r="BR29" s="1" t="str">
        <f>BI29</f>
        <v>Torre</v>
      </c>
      <c r="BS29" s="1">
        <f>VLOOKUP(BR29,BI29:BQ32,9,FALSE)</f>
        <v>9</v>
      </c>
      <c r="BT29" s="1">
        <f>VLOOKUP(BR29,BI29:BQ32,8,FALSE)</f>
        <v>9</v>
      </c>
      <c r="BU29" s="28" t="str">
        <f>IF(AND(BS29=BS30,BT30&gt;BT29),BR30,BR29)</f>
        <v>Torre</v>
      </c>
      <c r="BV29" s="29">
        <f>VLOOKUP(BU29,BI29:BQ32,9,FALSE)</f>
        <v>9</v>
      </c>
      <c r="BW29" s="29">
        <f>VLOOKUP(BU29,BI29:BQ32,8,FALSE)</f>
        <v>9</v>
      </c>
      <c r="BX29" s="28" t="str">
        <f>IF(AND(BV29=BV31,BW31&gt;BW29),BU31,BU29)</f>
        <v>Torre</v>
      </c>
      <c r="BY29" s="1">
        <f>VLOOKUP(BX29,BI29:BQ32,9,FALSE)</f>
        <v>9</v>
      </c>
      <c r="BZ29" s="12">
        <f>VLOOKUP(BX29,BI29:BQ32,8,FALSE)</f>
        <v>9</v>
      </c>
      <c r="CA29" s="30" t="str">
        <f>IF(AND(BY29=BY32,BZ32&gt;BZ29),BX32,BX29)</f>
        <v>Torre</v>
      </c>
      <c r="CB29" s="1">
        <f>VLOOKUP(CA29,BI29:BQ32,9,FALSE)</f>
        <v>9</v>
      </c>
      <c r="CC29" s="1">
        <f>VLOOKUP(CA29,BI29:BQ32,8,FALSE)</f>
        <v>9</v>
      </c>
      <c r="CD29" s="12">
        <f>VLOOKUP(CA29,BI29:BQ32,6,FALSE)</f>
        <v>10</v>
      </c>
      <c r="CE29" s="28" t="str">
        <f>IF(AND(CB29=CB30,CC29=CC30,CD30&gt;CD29),CA30,CA29)</f>
        <v>Torre</v>
      </c>
      <c r="CF29" s="1">
        <f>VLOOKUP(CE29,BI29:BQ32,9,FALSE)</f>
        <v>9</v>
      </c>
      <c r="CG29" s="1">
        <f>VLOOKUP(CE29,BI29:BQ32,8,FALSE)</f>
        <v>9</v>
      </c>
      <c r="CH29" s="1">
        <f>VLOOKUP(CE29,BI29:BQ32,6,FALSE)</f>
        <v>10</v>
      </c>
      <c r="CI29" s="28" t="str">
        <f>IF(AND(CF29=CF31,CG29=CG31,CH31&gt;CH29),CE31,CE29)</f>
        <v>Torre</v>
      </c>
      <c r="CJ29" s="1">
        <f>VLOOKUP(CI29,BI29:BQ32,9,FALSE)</f>
        <v>9</v>
      </c>
      <c r="CK29" s="1">
        <f>VLOOKUP(CI29,BI29:BQ32,8,FALSE)</f>
        <v>9</v>
      </c>
      <c r="CL29" s="1">
        <f>VLOOKUP(CI29,BI29:BQ32,6,FALSE)</f>
        <v>10</v>
      </c>
      <c r="CM29" s="28" t="str">
        <f>IF(AND(CJ29=CJ32,CK29=CK32,CL32&gt;CL29),CI32,CI29)</f>
        <v>Torre</v>
      </c>
      <c r="CN29" s="1">
        <f>VLOOKUP(CM29,BI29:BQ32,9,FALSE)</f>
        <v>9</v>
      </c>
      <c r="CO29" s="1">
        <f>VLOOKUP(CM29,BI29:BQ32,8,FALSE)</f>
        <v>9</v>
      </c>
      <c r="CP29" s="1">
        <f>VLOOKUP(CM29,BI29:BQ32,6,FALSE)</f>
        <v>10</v>
      </c>
      <c r="CQ29" s="13" t="str">
        <f>CM29</f>
        <v>Torre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10</v>
      </c>
      <c r="CW29" s="27">
        <f>VLOOKUP(CQ29,$X$29:$AF$32,7,FALSE)</f>
        <v>1</v>
      </c>
      <c r="CX29" s="27">
        <f>VLOOKUP(CQ29,$X$29:$AF$32,8,FALSE)</f>
        <v>9</v>
      </c>
      <c r="CY29" s="27">
        <f>VLOOKUP(CQ29,$X$29:$AF$32,9,FALSE)</f>
        <v>9</v>
      </c>
      <c r="DA29" s="1" t="str">
        <f>IF(ISNA(VLOOKUP(CQ29,K$6:L$25,1,FALSE))=TRUE,CM32,VLOOKUP(CQ29,K$6:L$25,1,FALSE))</f>
        <v>Torre</v>
      </c>
      <c r="DB29" s="1" t="str">
        <f>IF(ISNA(VLOOKUP(CQ29,K$6:L$25,2,FALSE))=TRUE,CM32,VLOOKUP(CQ29,K$6:L$25,2,FALSE))</f>
        <v>Porto Salvo "B"</v>
      </c>
      <c r="DD29" s="1" t="str">
        <f>IF(AND(CR30=CR29,CY30=CY29,DA30=CM30,DB30=CM29),DA30,CM29)</f>
        <v>Torre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10</v>
      </c>
      <c r="DJ29" s="27">
        <f>VLOOKUP(DD29,$X$29:$AF$32,7,FALSE)</f>
        <v>1</v>
      </c>
      <c r="DK29" s="27">
        <f>VLOOKUP(DD29,$X$29:$AF$32,8,FALSE)</f>
        <v>9</v>
      </c>
      <c r="DL29" s="27">
        <f>VLOOKUP(DD29,$X$29:$AF$32,9,FALSE)</f>
        <v>9</v>
      </c>
    </row>
    <row r="30" spans="2:116" ht="22.5" customHeight="1" x14ac:dyDescent="0.3">
      <c r="B30" s="133"/>
      <c r="C30" s="114"/>
      <c r="D30" s="115"/>
      <c r="E30" s="116"/>
      <c r="F30" s="117"/>
      <c r="G30" s="117"/>
      <c r="H30" s="116"/>
      <c r="I30" s="118"/>
      <c r="J30" s="119"/>
      <c r="K30" s="6" t="str">
        <f t="shared" si="8"/>
        <v>Empate</v>
      </c>
      <c r="L30" s="6" t="str">
        <f t="shared" si="9"/>
        <v>Empate</v>
      </c>
      <c r="X30" s="14" t="s">
        <v>68</v>
      </c>
      <c r="Y30" s="15">
        <f>DCOUNT($E$5:$F$29,$F$5,$Y33:$Y34)+DCOUNT($G$5:$H$29,$G$5,$Y33:$Y34)</f>
        <v>3</v>
      </c>
      <c r="Z30" s="15">
        <f>COUNTIF($K$6:$K$35,Y34)</f>
        <v>1</v>
      </c>
      <c r="AA30" s="15">
        <f>Y30-Z30-AB30</f>
        <v>0</v>
      </c>
      <c r="AB30" s="15">
        <f>COUNTIF($L$6:$L$35,Y34)</f>
        <v>2</v>
      </c>
      <c r="AC30" s="15">
        <f>DSUM($E$5:$F$29,$F$5,$Y33:$Y34)+DSUM($G$5:$H$29,$G$5,$Y33:$Y34)</f>
        <v>2</v>
      </c>
      <c r="AD30" s="15">
        <f>DSUM($E$5:$G$29,$G$5,$Y33:$Y34)+DSUM($F$5:$H$29,$F$5,$Y33:$Y34)</f>
        <v>7</v>
      </c>
      <c r="AE30" s="15">
        <f>AC30-AD30</f>
        <v>-5</v>
      </c>
      <c r="AF30" s="16">
        <f>Z30*3+AA30*1</f>
        <v>3</v>
      </c>
      <c r="AH30" s="31" t="str">
        <f>X30</f>
        <v>Cascais</v>
      </c>
      <c r="AI30" s="32">
        <f>AF30</f>
        <v>3</v>
      </c>
      <c r="AJ30" s="30" t="str">
        <f>IF(AI30&lt;=AI29,AH30,AH29)</f>
        <v>Cascais</v>
      </c>
      <c r="AK30" s="32">
        <f>VLOOKUP(AJ30,X29:AF32,9,FALSE)</f>
        <v>3</v>
      </c>
      <c r="AL30" s="10" t="str">
        <f>AJ30</f>
        <v>Cascais</v>
      </c>
      <c r="AM30" s="32">
        <f>VLOOKUP(AL30,X29:AF32,9,FALSE)</f>
        <v>3</v>
      </c>
      <c r="AN30" s="10" t="str">
        <f>AL30</f>
        <v>Cascais</v>
      </c>
      <c r="AO30" s="32">
        <f>VLOOKUP(AN30,X29:AF32,9,FALSE)</f>
        <v>3</v>
      </c>
      <c r="AP30" s="30" t="str">
        <f>IF(AO30&gt;=AO31,AN30,AN31)</f>
        <v>Cascais</v>
      </c>
      <c r="AQ30" s="32">
        <f>VLOOKUP(AP30,X29:AF32,9,FALSE)</f>
        <v>3</v>
      </c>
      <c r="AR30" s="30" t="str">
        <f>IF(AQ30&gt;=AQ32,AP30,AP32)</f>
        <v>ADCEO</v>
      </c>
      <c r="AS30" s="32">
        <f>VLOOKUP(AR30,X29:AF32,9,FALSE)</f>
        <v>6</v>
      </c>
      <c r="AU30" s="33"/>
      <c r="AV30" s="34" t="str">
        <f>AR30</f>
        <v>ADCEO</v>
      </c>
      <c r="AW30" s="35">
        <f>AS30</f>
        <v>6</v>
      </c>
      <c r="AX30" s="32">
        <f>VLOOKUP(AV30,X29:AF32,8,FALSE)</f>
        <v>3</v>
      </c>
      <c r="AY30" s="30" t="str">
        <f>IF(AND(AW29=AW30,AX30&gt;AX29),AV29,AV30)</f>
        <v>ADCEO</v>
      </c>
      <c r="AZ30" s="32">
        <f>VLOOKUP(AY30,X29:AF32,9,FALSE)</f>
        <v>6</v>
      </c>
      <c r="BA30" s="32">
        <f>VLOOKUP(AY30,X29:AF32,8,FALSE)</f>
        <v>3</v>
      </c>
      <c r="BB30" s="30" t="str">
        <f>IF(AND(AZ30=AZ31,BA31&gt;BA30),AY31,AY30)</f>
        <v>ADCEO</v>
      </c>
      <c r="BC30" s="32"/>
      <c r="BD30" s="32"/>
      <c r="BF30" s="36">
        <f>AZ30</f>
        <v>6</v>
      </c>
      <c r="BG30" s="37" t="str">
        <f>BB30</f>
        <v>ADCEO</v>
      </c>
      <c r="BI30" s="13" t="str">
        <f>BG30</f>
        <v>ADCEO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8</v>
      </c>
      <c r="BO30" s="27">
        <f>VLOOKUP(BI30,X29:AF32,7,FALSE)</f>
        <v>5</v>
      </c>
      <c r="BP30" s="27">
        <f>VLOOKUP(BI30,X29:AF32,8,FALSE)</f>
        <v>3</v>
      </c>
      <c r="BQ30" s="27">
        <f>VLOOKUP(BI30,X29:AF32,9,FALSE)</f>
        <v>6</v>
      </c>
      <c r="BR30" s="1" t="str">
        <f>BI30</f>
        <v>ADCEO</v>
      </c>
      <c r="BS30" s="1">
        <f>VLOOKUP(BR30,BI29:BQ32,9,FALSE)</f>
        <v>6</v>
      </c>
      <c r="BT30" s="1">
        <f>VLOOKUP(BR30,BI29:BQ32,8,FALSE)</f>
        <v>3</v>
      </c>
      <c r="BU30" s="28" t="str">
        <f>IF(AND(BS29=BS30,BT30&gt;BT29),BR29,BR30)</f>
        <v>ADCEO</v>
      </c>
      <c r="BV30" s="29">
        <f>VLOOKUP(BU30,BI29:BQ32,9,FALSE)</f>
        <v>6</v>
      </c>
      <c r="BW30" s="29">
        <f>VLOOKUP(BU30,BI29:BQ32,8,FALSE)</f>
        <v>3</v>
      </c>
      <c r="BX30" s="29" t="str">
        <f>IF(AND(BV30=BV32,BW32&gt;BW30),BU32,BU30)</f>
        <v>ADCEO</v>
      </c>
      <c r="BY30" s="1">
        <f>VLOOKUP(BX30,BI29:BQ32,9,FALSE)</f>
        <v>6</v>
      </c>
      <c r="BZ30" s="12">
        <f>VLOOKUP(BX30,BI29:BQ32,8,FALSE)</f>
        <v>3</v>
      </c>
      <c r="CA30" s="1" t="str">
        <f>IF(AND(BY30=BY31,BZ31&gt;BZ30),BX31,BX30)</f>
        <v>ADCEO</v>
      </c>
      <c r="CB30" s="1">
        <f>VLOOKUP(CA30,BI29:BQ32,9,FALSE)</f>
        <v>6</v>
      </c>
      <c r="CC30" s="1">
        <f>VLOOKUP(CA30,BI29:BQ32,8,FALSE)</f>
        <v>3</v>
      </c>
      <c r="CD30" s="12">
        <f>VLOOKUP(CA30,BI29:BQ32,6,FALSE)</f>
        <v>8</v>
      </c>
      <c r="CE30" s="28" t="str">
        <f>IF(AND(CB29=CB30,CC29=CC30,CD30&gt;CD29),CA29,CA30)</f>
        <v>ADCEO</v>
      </c>
      <c r="CF30" s="1">
        <f>VLOOKUP(CE30,BI29:BQ32,9,FALSE)</f>
        <v>6</v>
      </c>
      <c r="CG30" s="1">
        <f>VLOOKUP(CE30,BI29:BQ32,8,FALSE)</f>
        <v>3</v>
      </c>
      <c r="CH30" s="1">
        <f>VLOOKUP(CE30,BI29:BQ32,6,FALSE)</f>
        <v>8</v>
      </c>
      <c r="CI30" s="29" t="str">
        <f>IF(AND(CF30=CF32,CG30=CG32,CH32&gt;CH30),CE32,CE30)</f>
        <v>ADCEO</v>
      </c>
      <c r="CJ30" s="1">
        <f>VLOOKUP(CI30,BI29:BQ32,9,FALSE)</f>
        <v>6</v>
      </c>
      <c r="CK30" s="1">
        <f>VLOOKUP(CI30,BI29:BQ32,8,FALSE)</f>
        <v>3</v>
      </c>
      <c r="CL30" s="1">
        <f>VLOOKUP(CI30,BI29:BQ32,6,FALSE)</f>
        <v>8</v>
      </c>
      <c r="CM30" s="29" t="str">
        <f>IF(AND(CJ30=CJ31,CK30=CK31,CL31&gt;CL30),CI31,CI30)</f>
        <v>ADCEO</v>
      </c>
      <c r="CN30" s="1">
        <f>VLOOKUP(CM30,BI29:BQ32,9,FALSE)</f>
        <v>6</v>
      </c>
      <c r="CO30" s="1">
        <f>VLOOKUP(CM30,BI29:BQ32,8,FALSE)</f>
        <v>3</v>
      </c>
      <c r="CP30" s="1">
        <f>VLOOKUP(CM30,BI29:BQ32,6,FALSE)</f>
        <v>8</v>
      </c>
      <c r="CQ30" s="13" t="str">
        <f>CM30</f>
        <v>ADCEO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8</v>
      </c>
      <c r="CW30" s="27">
        <f>VLOOKUP(CQ30,$X$29:$AF$32,7,FALSE)</f>
        <v>5</v>
      </c>
      <c r="CX30" s="27">
        <f>VLOOKUP(CQ30,$X$29:$AF$32,8,FALSE)</f>
        <v>3</v>
      </c>
      <c r="CY30" s="27">
        <f>VLOOKUP(CQ30,$X$29:$AF$32,9,FALSE)</f>
        <v>6</v>
      </c>
      <c r="DA30" s="1" t="str">
        <f>IF(ISNA(VLOOKUP(CQ30,K$6:L$25,1,FALSE))=TRUE,CM32,VLOOKUP(CQ30,K$6:L$25,1,FALSE))</f>
        <v>ADCEO</v>
      </c>
      <c r="DB30" s="1" t="str">
        <f>IF(ISNA(VLOOKUP(CQ30,K$6:L$25,2,FALSE))=TRUE,CM32,VLOOKUP(CQ30,K$6:L$25,2,FALSE))</f>
        <v>Cascais</v>
      </c>
      <c r="DD30" s="1" t="str">
        <f>IF(DD29=CM30,CM29,IF(AND(CR31=CR30,CY31=CY30,DA31=CM31,DB31=CM30),DA31,CM30))</f>
        <v>ADCEO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8</v>
      </c>
      <c r="DJ30" s="27">
        <f>VLOOKUP(DD30,$X$29:$AF$32,7,FALSE)</f>
        <v>5</v>
      </c>
      <c r="DK30" s="27">
        <f>VLOOKUP(DD30,$X$29:$AF$32,8,FALSE)</f>
        <v>3</v>
      </c>
      <c r="DL30" s="27">
        <f>VLOOKUP(DD30,$X$29:$AF$32,9,FALSE)</f>
        <v>6</v>
      </c>
    </row>
    <row r="31" spans="2:116" ht="22.5" customHeight="1" x14ac:dyDescent="0.3">
      <c r="B31" s="214" t="s">
        <v>72</v>
      </c>
      <c r="C31" s="215"/>
      <c r="D31" s="215"/>
      <c r="E31" s="215"/>
      <c r="F31" s="215"/>
      <c r="G31" s="215"/>
      <c r="H31" s="215"/>
      <c r="I31" s="215"/>
      <c r="J31" s="216"/>
      <c r="K31" s="6" t="str">
        <f t="shared" si="8"/>
        <v>Oeiras</v>
      </c>
      <c r="L31" s="6" t="str">
        <f t="shared" si="9"/>
        <v>S. J. Brito</v>
      </c>
      <c r="N31" s="120"/>
      <c r="O31" s="121"/>
      <c r="P31" s="121"/>
      <c r="Q31" s="121"/>
      <c r="R31" s="121"/>
      <c r="S31" s="121"/>
      <c r="T31" s="121"/>
      <c r="U31" s="121"/>
      <c r="V31" s="121"/>
      <c r="X31" s="14" t="s">
        <v>96</v>
      </c>
      <c r="Y31" s="15">
        <f>DCOUNT($E$5:$F$29,$F$5,$Z33:$Z34)+DCOUNT($G$5:$H$29,$G$5,$Z33:$Z34)</f>
        <v>3</v>
      </c>
      <c r="Z31" s="15">
        <f>COUNTIF($K$6:$K$35,Z34)</f>
        <v>0</v>
      </c>
      <c r="AA31" s="15">
        <f>Y31-Z31-AB31</f>
        <v>0</v>
      </c>
      <c r="AB31" s="15">
        <f>COUNTIF($L$6:$L$35,Z34)</f>
        <v>3</v>
      </c>
      <c r="AC31" s="15">
        <f>DSUM($E$5:$F$29,$F$5,$Z33:$Z34)+DSUM($G$5:$H$29,$G$5,$Z33:$Z34)</f>
        <v>0</v>
      </c>
      <c r="AD31" s="15">
        <f>DSUM($E$5:$G$29,$G$5,$Z33:$Z34)+DSUM($F$5:$H$29,$F$5,$Z33:$Z34)</f>
        <v>7</v>
      </c>
      <c r="AE31" s="15">
        <f>AC31-AD31</f>
        <v>-7</v>
      </c>
      <c r="AF31" s="16">
        <f>Z31*3+AA31*1</f>
        <v>0</v>
      </c>
      <c r="AH31" s="31" t="str">
        <f>X31</f>
        <v>Porto Salvo "B"</v>
      </c>
      <c r="AI31" s="32">
        <f>AF31</f>
        <v>0</v>
      </c>
      <c r="AJ31" s="10" t="str">
        <f>AH31</f>
        <v>Porto Salvo "B"</v>
      </c>
      <c r="AK31" s="32">
        <f>VLOOKUP(AJ31,X29:AF32,9,FALSE)</f>
        <v>0</v>
      </c>
      <c r="AL31" s="30" t="str">
        <f>IF(AK31&lt;=AK29,AJ31,AJ29)</f>
        <v>Porto Salvo "B"</v>
      </c>
      <c r="AM31" s="32">
        <f>VLOOKUP(AL31,X29:AF32,9,FALSE)</f>
        <v>0</v>
      </c>
      <c r="AN31" s="10" t="str">
        <f>AL31</f>
        <v>Porto Salvo "B"</v>
      </c>
      <c r="AO31" s="32">
        <f>VLOOKUP(AN31,X29:AF32,9,FALSE)</f>
        <v>0</v>
      </c>
      <c r="AP31" s="30" t="str">
        <f>IF(AO31&lt;=AO30,AN31,AN30)</f>
        <v>Porto Salvo "B"</v>
      </c>
      <c r="AQ31" s="32">
        <f>VLOOKUP(AP31,X29:AF32,9,FALSE)</f>
        <v>0</v>
      </c>
      <c r="AR31" s="10" t="str">
        <f>AP31</f>
        <v>Porto Salvo "B"</v>
      </c>
      <c r="AS31" s="32">
        <f>VLOOKUP(AR31,X29:AF32,9,FALSE)</f>
        <v>0</v>
      </c>
      <c r="AT31" s="30" t="str">
        <f>IF(AS31&gt;=AS32,AR31,AR32)</f>
        <v>Cascais</v>
      </c>
      <c r="AU31" s="38">
        <f>VLOOKUP(AT31,X29:AF32,9,FALSE)</f>
        <v>3</v>
      </c>
      <c r="AV31" s="34" t="str">
        <f>AT31</f>
        <v>Cascais</v>
      </c>
      <c r="AW31" s="35">
        <f>AU31</f>
        <v>3</v>
      </c>
      <c r="AX31" s="32">
        <f>VLOOKUP(AV31,X29:AF32,8,FALSE)</f>
        <v>-5</v>
      </c>
      <c r="AY31" s="10" t="str">
        <f>AV31</f>
        <v>Cascais</v>
      </c>
      <c r="AZ31" s="32">
        <f>VLOOKUP(AY31,X29:AF32,9,FALSE)</f>
        <v>3</v>
      </c>
      <c r="BA31" s="32">
        <f>VLOOKUP(AY31,X29:AF32,8,FALSE)</f>
        <v>-5</v>
      </c>
      <c r="BB31" s="30" t="str">
        <f>IF(AND(AZ30=AZ31,BA31&gt;BA30),AY30,AY31)</f>
        <v>Cascais</v>
      </c>
      <c r="BC31" s="32">
        <f>VLOOKUP(BB31,X29:AF32,9,FALSE)</f>
        <v>3</v>
      </c>
      <c r="BD31" s="32">
        <f>VLOOKUP(BB31,X29:AF32,8,FALSE)</f>
        <v>-5</v>
      </c>
      <c r="BE31" s="30" t="str">
        <f>IF(AND(BC31=BC32,BD32&gt;BD31),BB32,BB31)</f>
        <v>Cascais</v>
      </c>
      <c r="BF31" s="36">
        <f>BC31</f>
        <v>3</v>
      </c>
      <c r="BG31" s="37" t="str">
        <f>BE31</f>
        <v>Cascais</v>
      </c>
      <c r="BI31" s="13" t="str">
        <f>BG31</f>
        <v>Cascais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2</v>
      </c>
      <c r="BO31" s="27">
        <f>VLOOKUP(BI31,X29:AF32,7,FALSE)</f>
        <v>7</v>
      </c>
      <c r="BP31" s="27">
        <f>VLOOKUP(BI31,X29:AF32,8,FALSE)</f>
        <v>-5</v>
      </c>
      <c r="BQ31" s="27">
        <f>VLOOKUP(BI31,X29:AF32,9,FALSE)</f>
        <v>3</v>
      </c>
      <c r="BR31" s="1" t="str">
        <f>BI31</f>
        <v>Cascais</v>
      </c>
      <c r="BS31" s="1">
        <f>VLOOKUP(BR31,BI29:BQ32,9,FALSE)</f>
        <v>3</v>
      </c>
      <c r="BT31" s="1">
        <f>VLOOKUP(BR31,BI29:BQ32,8,FALSE)</f>
        <v>-5</v>
      </c>
      <c r="BU31" s="29" t="str">
        <f>IF(AND(BS31=BS32,BT32&gt;BT31),BR32,BR31)</f>
        <v>Cascais</v>
      </c>
      <c r="BV31" s="29">
        <f>VLOOKUP(BU31,BI29:BQ32,9,FALSE)</f>
        <v>3</v>
      </c>
      <c r="BW31" s="29">
        <f>VLOOKUP(BU31,BI29:BQ32,8,FALSE)</f>
        <v>-5</v>
      </c>
      <c r="BX31" s="28" t="str">
        <f>IF(AND(BV29=BV31,BW31&gt;BW29),BU29,BU31)</f>
        <v>Cascais</v>
      </c>
      <c r="BY31" s="1">
        <f>VLOOKUP(BX31,BI29:BQ32,9,FALSE)</f>
        <v>3</v>
      </c>
      <c r="BZ31" s="12">
        <f>VLOOKUP(BX31,BI29:BQ32,8,FALSE)</f>
        <v>-5</v>
      </c>
      <c r="CA31" s="1" t="str">
        <f>IF(AND(BY30=BY31,BZ31&gt;BZ30),BX30,BX31)</f>
        <v>Cascais</v>
      </c>
      <c r="CB31" s="1">
        <f>VLOOKUP(CA31,BI29:BQ32,9,FALSE)</f>
        <v>3</v>
      </c>
      <c r="CC31" s="1">
        <f>VLOOKUP(CA31,BI29:BQ32,8,FALSE)</f>
        <v>-5</v>
      </c>
      <c r="CD31" s="12">
        <f>VLOOKUP(CA31,BI29:BQ32,6,FALSE)</f>
        <v>2</v>
      </c>
      <c r="CE31" s="29" t="str">
        <f>IF(AND(CB31=CB32,CC31=CC32,CD32&gt;CD31),CA32,CA31)</f>
        <v>Cascais</v>
      </c>
      <c r="CF31" s="1">
        <f>VLOOKUP(CE31,BI29:BQ32,9,FALSE)</f>
        <v>3</v>
      </c>
      <c r="CG31" s="1">
        <f>VLOOKUP(CE31,BI29:BQ32,8,FALSE)</f>
        <v>-5</v>
      </c>
      <c r="CH31" s="1">
        <f>VLOOKUP(CE31,BI29:BQ32,6,FALSE)</f>
        <v>2</v>
      </c>
      <c r="CI31" s="28" t="str">
        <f>IF(AND(CF29=CF31,CG29=CG31,CH31&gt;CH29),CE29,CE31)</f>
        <v>Cascais</v>
      </c>
      <c r="CJ31" s="1">
        <f>VLOOKUP(CI31,BI29:BQ32,9,FALSE)</f>
        <v>3</v>
      </c>
      <c r="CK31" s="1">
        <f>VLOOKUP(CI31,BI29:BQ32,8,FALSE)</f>
        <v>-5</v>
      </c>
      <c r="CL31" s="1">
        <f>VLOOKUP(CI31,BI29:BQ32,6,FALSE)</f>
        <v>2</v>
      </c>
      <c r="CM31" s="29" t="str">
        <f>IF(AND(CJ30=CJ31,CK30=CK31,CL31&gt;CL30),CI30,CI31)</f>
        <v>Cascais</v>
      </c>
      <c r="CN31" s="1">
        <f>VLOOKUP(CM31,BI29:BQ32,9,FALSE)</f>
        <v>3</v>
      </c>
      <c r="CO31" s="1">
        <f>VLOOKUP(CM31,BI29:BQ32,8,FALSE)</f>
        <v>-5</v>
      </c>
      <c r="CP31" s="1">
        <f>VLOOKUP(CM31,BI29:BQ32,6,FALSE)</f>
        <v>2</v>
      </c>
      <c r="CQ31" s="13" t="str">
        <f>CM31</f>
        <v>Cascais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2</v>
      </c>
      <c r="CW31" s="27">
        <f>VLOOKUP(CQ31,$X$29:$AF$32,7,FALSE)</f>
        <v>7</v>
      </c>
      <c r="CX31" s="27">
        <f>VLOOKUP(CQ31,$X$29:$AF$32,8,FALSE)</f>
        <v>-5</v>
      </c>
      <c r="CY31" s="27">
        <f>VLOOKUP(CQ31,$X$29:$AF$32,9,FALSE)</f>
        <v>3</v>
      </c>
      <c r="DA31" s="1" t="str">
        <f>IF(ISNA(VLOOKUP(CQ31,K$6:L$25,1,FALSE))=TRUE,CM32,VLOOKUP(CQ31,K$6:L$25,1,FALSE))</f>
        <v>Porto Salvo "B"</v>
      </c>
      <c r="DB31" s="1" t="str">
        <f>IF(ISNA(VLOOKUP(CQ31,K$6:L$25,2,FALSE))=TRUE,CM32,VLOOKUP(CQ31,K$6:L$25,2,FALSE))</f>
        <v>Porto Salvo "B"</v>
      </c>
      <c r="DD31" s="1" t="str">
        <f>IF(DD30=CM31,CM30,IF(AND(CR32=CR31,CY32=CY31,DA32=CM32,DB32=CM31),DA32,CM31))</f>
        <v>Cascais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2</v>
      </c>
      <c r="DJ31" s="27">
        <f>VLOOKUP(DD31,$X$29:$AF$32,7,FALSE)</f>
        <v>7</v>
      </c>
      <c r="DK31" s="27">
        <f>VLOOKUP(DD31,$X$29:$AF$32,8,FALSE)</f>
        <v>-5</v>
      </c>
      <c r="DL31" s="27">
        <f>VLOOKUP(DD31,$X$29:$AF$32,9,FALSE)</f>
        <v>3</v>
      </c>
    </row>
    <row r="32" spans="2:116" ht="22.5" customHeight="1" x14ac:dyDescent="0.3">
      <c r="B32" s="208" t="s">
        <v>14</v>
      </c>
      <c r="C32" s="209"/>
      <c r="D32" s="209"/>
      <c r="E32" s="209"/>
      <c r="F32" s="209"/>
      <c r="G32" s="209"/>
      <c r="H32" s="209"/>
      <c r="I32" s="209"/>
      <c r="J32" s="210"/>
      <c r="K32" s="6" t="str">
        <f t="shared" si="8"/>
        <v>Cascais</v>
      </c>
      <c r="L32" s="6" t="str">
        <f t="shared" si="9"/>
        <v>Porto Salvo "B"</v>
      </c>
      <c r="N32" s="122"/>
      <c r="O32" s="123"/>
      <c r="P32" s="123"/>
      <c r="Q32" s="123"/>
      <c r="R32" s="123"/>
      <c r="S32" s="123"/>
      <c r="T32" s="123"/>
      <c r="U32" s="123"/>
      <c r="V32" s="123"/>
      <c r="X32" s="4" t="s">
        <v>81</v>
      </c>
      <c r="Y32" s="39">
        <f>DCOUNT($E$5:$F$29,$F$5,$AA33:$AA34)+DCOUNT($G$5:$H$29,$G$5,$AA33:$AA34)</f>
        <v>3</v>
      </c>
      <c r="Z32" s="39">
        <f>COUNTIF($K$6:$K$35,AA34)</f>
        <v>3</v>
      </c>
      <c r="AA32" s="39">
        <f>Y32-Z32-AB32</f>
        <v>0</v>
      </c>
      <c r="AB32" s="39">
        <f>COUNTIF($L$6:$L$35,AA34)</f>
        <v>0</v>
      </c>
      <c r="AC32" s="39">
        <f>DSUM($E$5:$F$29,$F$5,$AA33:$AA34)+DSUM($G$5:$H$29,$G$5,$AA33:$AA34)</f>
        <v>10</v>
      </c>
      <c r="AD32" s="39">
        <f>DSUM($E$5:$G$29,$G$5,$AA33:$AA34)+DSUM($F$5:$H$29,$F$5,$AA33:$AA34)</f>
        <v>1</v>
      </c>
      <c r="AE32" s="39">
        <f>AC32-AD32</f>
        <v>9</v>
      </c>
      <c r="AF32" s="40">
        <f>Z32*3+AA32*1</f>
        <v>9</v>
      </c>
      <c r="AH32" s="41" t="str">
        <f>X32</f>
        <v>Torre</v>
      </c>
      <c r="AI32" s="42">
        <f>AF32</f>
        <v>9</v>
      </c>
      <c r="AJ32" s="43" t="str">
        <f>AH32</f>
        <v>Torre</v>
      </c>
      <c r="AK32" s="42">
        <f>VLOOKUP(AJ32,X29:AF32,9,FALSE)</f>
        <v>9</v>
      </c>
      <c r="AL32" s="43" t="str">
        <f>AJ32</f>
        <v>Torre</v>
      </c>
      <c r="AM32" s="42">
        <f>VLOOKUP(AL32,X29:AF32,9,FALSE)</f>
        <v>9</v>
      </c>
      <c r="AN32" s="44" t="str">
        <f>IF(AM32&lt;=AM29,AL32,AL29)</f>
        <v>ADCEO</v>
      </c>
      <c r="AO32" s="42">
        <f>VLOOKUP(AN32,X29:AF32,9,FALSE)</f>
        <v>6</v>
      </c>
      <c r="AP32" s="43" t="str">
        <f>AN32</f>
        <v>ADCEO</v>
      </c>
      <c r="AQ32" s="42">
        <f>VLOOKUP(AP32,X29:AF32,9,FALSE)</f>
        <v>6</v>
      </c>
      <c r="AR32" s="44" t="str">
        <f>IF(AQ32&lt;=AQ30,AP32,AP30)</f>
        <v>Cascais</v>
      </c>
      <c r="AS32" s="42">
        <f>VLOOKUP(AR32,X29:AF32,9,FALSE)</f>
        <v>3</v>
      </c>
      <c r="AT32" s="44" t="str">
        <f>IF(AS32&lt;=AS31,AR32,AR31)</f>
        <v>Porto Salvo "B"</v>
      </c>
      <c r="AU32" s="45">
        <f>VLOOKUP(AT32,X29:AF32,9,FALSE)</f>
        <v>0</v>
      </c>
      <c r="AV32" s="46" t="str">
        <f>AT32</f>
        <v>Porto Salvo "B"</v>
      </c>
      <c r="AW32" s="47">
        <f>AU32</f>
        <v>0</v>
      </c>
      <c r="AX32" s="42">
        <f>VLOOKUP(AV32,X29:AF32,8,FALSE)</f>
        <v>-7</v>
      </c>
      <c r="AY32" s="43" t="str">
        <f>AV32</f>
        <v>Porto Salvo "B"</v>
      </c>
      <c r="AZ32" s="42">
        <f>VLOOKUP(AY32,X29:AF32,9,FALSE)</f>
        <v>0</v>
      </c>
      <c r="BA32" s="42">
        <f>VLOOKUP(AY32,X29:AF32,8,FALSE)</f>
        <v>-7</v>
      </c>
      <c r="BB32" s="43" t="str">
        <f>AY32</f>
        <v>Porto Salvo "B"</v>
      </c>
      <c r="BC32" s="42">
        <f>VLOOKUP(BB32,X29:AF32,9,FALSE)</f>
        <v>0</v>
      </c>
      <c r="BD32" s="42">
        <f>VLOOKUP(BB32,X29:AF32,8,FALSE)</f>
        <v>-7</v>
      </c>
      <c r="BE32" s="44" t="str">
        <f>IF(AND(BC31=BC32,BD32&gt;BD31),BB31,BB32)</f>
        <v>Porto Salvo "B"</v>
      </c>
      <c r="BF32" s="48">
        <f>VLOOKUP(BE32,X29:AF32,9,FALSE)</f>
        <v>0</v>
      </c>
      <c r="BG32" s="49" t="str">
        <f>BE32</f>
        <v>Porto Salvo "B"</v>
      </c>
      <c r="BI32" s="13" t="str">
        <f>BG32</f>
        <v>Porto Salvo "B"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0</v>
      </c>
      <c r="BO32" s="27">
        <f>VLOOKUP(BI32,X29:AF32,7,FALSE)</f>
        <v>7</v>
      </c>
      <c r="BP32" s="27">
        <f>VLOOKUP(BI32,X29:AF32,8,FALSE)</f>
        <v>-7</v>
      </c>
      <c r="BQ32" s="27">
        <f>VLOOKUP(BI32,X29:AF32,9,FALSE)</f>
        <v>0</v>
      </c>
      <c r="BR32" s="1" t="str">
        <f>BI32</f>
        <v>Porto Salvo "B"</v>
      </c>
      <c r="BS32" s="1">
        <f>VLOOKUP(BR32,BI29:BQ32,9,FALSE)</f>
        <v>0</v>
      </c>
      <c r="BT32" s="1">
        <f>VLOOKUP(BR32,BI29:BQ32,8,FALSE)</f>
        <v>-7</v>
      </c>
      <c r="BU32" s="29" t="str">
        <f>IF(AND(BS31=BS32,BT32&gt;BT31),BR31,BR32)</f>
        <v>Porto Salvo "B"</v>
      </c>
      <c r="BV32" s="29">
        <f>VLOOKUP(BU32,BI29:BQ32,9,FALSE)</f>
        <v>0</v>
      </c>
      <c r="BW32" s="29">
        <f>VLOOKUP(BU32,BI29:BQ32,8,FALSE)</f>
        <v>-7</v>
      </c>
      <c r="BX32" s="29" t="str">
        <f>IF(AND(BV30=BV32,BW32&gt;BW30),BU30,BU32)</f>
        <v>Porto Salvo "B"</v>
      </c>
      <c r="BY32" s="1">
        <f>VLOOKUP(BX32,BI29:BQ32,9,FALSE)</f>
        <v>0</v>
      </c>
      <c r="BZ32" s="12">
        <f>VLOOKUP(BX32,BI29:BQ32,8,FALSE)</f>
        <v>-7</v>
      </c>
      <c r="CA32" s="30" t="str">
        <f>IF(AND(BY29=BY32,BZ32&gt;BZ29),BX29,BX32)</f>
        <v>Porto Salvo "B"</v>
      </c>
      <c r="CB32" s="1">
        <f>VLOOKUP(CA32,BI29:BQ32,9,FALSE)</f>
        <v>0</v>
      </c>
      <c r="CC32" s="1">
        <f>VLOOKUP(CA32,BI29:BQ32,8,FALSE)</f>
        <v>-7</v>
      </c>
      <c r="CD32" s="12">
        <f>VLOOKUP(CA32,BI29:BQ32,6,FALSE)</f>
        <v>0</v>
      </c>
      <c r="CE32" s="29" t="str">
        <f>IF(AND(CB31=CB32,CC31=CC32,CD32&gt;CD31),CA31,CA32)</f>
        <v>Porto Salvo "B"</v>
      </c>
      <c r="CF32" s="1">
        <f>VLOOKUP(CE32,BI29:BQ32,9,FALSE)</f>
        <v>0</v>
      </c>
      <c r="CG32" s="1">
        <f>VLOOKUP(CE32,BI29:BQ32,8,FALSE)</f>
        <v>-7</v>
      </c>
      <c r="CH32" s="1">
        <f>VLOOKUP(CE32,BI29:BQ32,6,FALSE)</f>
        <v>0</v>
      </c>
      <c r="CI32" s="29" t="str">
        <f>IF(AND(CF30=CF32,CG30=CG32,CH32&gt;CH30),CE30,CE32)</f>
        <v>Porto Salvo "B"</v>
      </c>
      <c r="CJ32" s="1">
        <f>VLOOKUP(CI32,BI29:BQ32,9,FALSE)</f>
        <v>0</v>
      </c>
      <c r="CK32" s="1">
        <f>VLOOKUP(CI32,BI29:BQ32,8,FALSE)</f>
        <v>-7</v>
      </c>
      <c r="CL32" s="1">
        <f>VLOOKUP(CI32,BI29:BQ32,6,FALSE)</f>
        <v>0</v>
      </c>
      <c r="CM32" s="28" t="str">
        <f>IF(AND(CJ29=CJ32,CK29=CK32,CL32&gt;CL29),CI29,CI32)</f>
        <v>Porto Salvo "B"</v>
      </c>
      <c r="CN32" s="1">
        <f>VLOOKUP(CM32,BI29:BQ32,9,FALSE)</f>
        <v>0</v>
      </c>
      <c r="CO32" s="1">
        <f>VLOOKUP(CM32,BI29:BQ32,8,FALSE)</f>
        <v>-7</v>
      </c>
      <c r="CP32" s="1">
        <f>VLOOKUP(CM32,BI29:BQ32,6,FALSE)</f>
        <v>0</v>
      </c>
      <c r="CQ32" s="13" t="str">
        <f>CM32</f>
        <v>Porto Salvo "B"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0</v>
      </c>
      <c r="CW32" s="27">
        <f>VLOOKUP(CQ32,$X$29:$AF$32,7,FALSE)</f>
        <v>7</v>
      </c>
      <c r="CX32" s="27">
        <f>VLOOKUP(CQ32,$X$29:$AF$32,8,FALSE)</f>
        <v>-7</v>
      </c>
      <c r="CY32" s="27">
        <f>VLOOKUP(CQ32,$X$29:$AF$32,9,FALSE)</f>
        <v>0</v>
      </c>
      <c r="DA32" s="1" t="str">
        <f>IF(ISNA(VLOOKUP(CQ32,K$6:L$25,1,FALSE))=TRUE,CM32,VLOOKUP(CQ32,K$6:L$25,1,FALSE))</f>
        <v>Porto Salvo "B"</v>
      </c>
      <c r="DB32" s="1" t="str">
        <f>IF(ISNA(VLOOKUP(CQ32,K$6:L$25,2,FALSE))=TRUE,CM32,VLOOKUP(CQ32,K$6:L$25,2,FALSE))</f>
        <v>Porto Salvo "B"</v>
      </c>
      <c r="DD32" s="1" t="str">
        <f>IF(DD31=CM32,CM31,IF(AND(CR33=CR32,CY33=CY32,DA33=CM33,DB33=CM32),DA33,CM32))</f>
        <v>Porto Salvo "B"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0</v>
      </c>
      <c r="DJ32" s="27">
        <f>VLOOKUP(DD32,$X$29:$AF$32,7,FALSE)</f>
        <v>7</v>
      </c>
      <c r="DK32" s="27">
        <f>VLOOKUP(DD32,$X$29:$AF$32,8,FALSE)</f>
        <v>-7</v>
      </c>
      <c r="DL32" s="27">
        <f>VLOOKUP(DD32,$X$29:$AF$32,9,FALSE)</f>
        <v>0</v>
      </c>
    </row>
    <row r="33" spans="2:116" ht="22.5" customHeight="1" x14ac:dyDescent="0.3">
      <c r="B33" s="96">
        <v>25</v>
      </c>
      <c r="C33" s="97">
        <v>45099</v>
      </c>
      <c r="D33" s="98">
        <v>0.70833333333333337</v>
      </c>
      <c r="E33" s="177" t="s">
        <v>92</v>
      </c>
      <c r="F33" s="178">
        <v>12</v>
      </c>
      <c r="G33" s="178">
        <v>2</v>
      </c>
      <c r="H33" s="179" t="s">
        <v>67</v>
      </c>
      <c r="I33" s="174" t="s">
        <v>64</v>
      </c>
      <c r="J33" s="5"/>
      <c r="K33" s="6" t="str">
        <f t="shared" si="8"/>
        <v>Torre</v>
      </c>
      <c r="L33" s="6" t="str">
        <f t="shared" si="9"/>
        <v>ADCEO</v>
      </c>
      <c r="N33" s="122"/>
      <c r="O33" s="123"/>
      <c r="P33" s="123"/>
      <c r="Q33" s="123"/>
      <c r="R33" s="123"/>
      <c r="S33" s="123"/>
      <c r="T33" s="123"/>
      <c r="U33" s="123"/>
      <c r="V33" s="123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45099</v>
      </c>
      <c r="D34" s="98">
        <v>0.70833333333333337</v>
      </c>
      <c r="E34" s="176" t="s">
        <v>82</v>
      </c>
      <c r="F34" s="3">
        <v>6</v>
      </c>
      <c r="G34" s="3">
        <v>0</v>
      </c>
      <c r="H34" s="180" t="s">
        <v>93</v>
      </c>
      <c r="I34" s="174" t="s">
        <v>65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2"/>
      <c r="O34" s="123"/>
      <c r="P34" s="123"/>
      <c r="Q34" s="123"/>
      <c r="R34" s="123"/>
      <c r="S34" s="123"/>
      <c r="T34" s="123"/>
      <c r="U34" s="123"/>
      <c r="V34" s="123"/>
      <c r="X34" s="15" t="s">
        <v>83</v>
      </c>
      <c r="Y34" s="15" t="s">
        <v>68</v>
      </c>
      <c r="Z34" s="15" t="s">
        <v>96</v>
      </c>
      <c r="AA34" s="15" t="s">
        <v>81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45099</v>
      </c>
      <c r="D35" s="98">
        <v>0.70833333333333337</v>
      </c>
      <c r="E35" s="176" t="s">
        <v>87</v>
      </c>
      <c r="F35" s="3">
        <v>6</v>
      </c>
      <c r="G35" s="3">
        <v>1</v>
      </c>
      <c r="H35" s="180" t="s">
        <v>83</v>
      </c>
      <c r="I35" s="174" t="s">
        <v>97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2"/>
      <c r="O35" s="123"/>
      <c r="P35" s="123"/>
      <c r="Q35" s="123"/>
      <c r="R35" s="123"/>
      <c r="S35" s="123"/>
      <c r="T35" s="123"/>
      <c r="U35" s="123"/>
      <c r="V35" s="123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6">
        <v>28</v>
      </c>
      <c r="C36" s="97">
        <v>45099</v>
      </c>
      <c r="D36" s="98">
        <v>0.70833333333333337</v>
      </c>
      <c r="E36" s="176" t="s">
        <v>81</v>
      </c>
      <c r="F36" s="3">
        <v>3</v>
      </c>
      <c r="G36" s="3">
        <v>1</v>
      </c>
      <c r="H36" s="181" t="s">
        <v>95</v>
      </c>
      <c r="I36" s="174" t="s">
        <v>88</v>
      </c>
      <c r="J36" s="5"/>
      <c r="K36" s="113"/>
      <c r="L36" s="113"/>
      <c r="N36" s="122"/>
      <c r="O36" s="123"/>
      <c r="P36" s="123"/>
      <c r="Q36" s="123"/>
      <c r="R36" s="123"/>
      <c r="S36" s="123"/>
      <c r="T36" s="123"/>
      <c r="U36" s="123"/>
      <c r="V36" s="123"/>
      <c r="X36" s="14" t="s">
        <v>77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6</v>
      </c>
      <c r="AN36" s="19" t="str">
        <f>IF(AM36&gt;=AM39,AL36,AL39)</f>
        <v>Carcavelos</v>
      </c>
      <c r="AO36" s="18">
        <f>VLOOKUP(AN36,X36:AF39,9,FALSE)</f>
        <v>6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6</v>
      </c>
      <c r="AX36" s="18">
        <f>VLOOKUP(AV36,X36:AF39,8,FALSE)</f>
        <v>-2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6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2</v>
      </c>
      <c r="BL36" s="27">
        <f>VLOOKUP(BI36,X36:AF39,4,FALSE)</f>
        <v>0</v>
      </c>
      <c r="BM36" s="27">
        <f>VLOOKUP(BI36,X36:AF39,5,FALSE)</f>
        <v>1</v>
      </c>
      <c r="BN36" s="27">
        <f>VLOOKUP(BI36,X36:AF39,6,FALSE)</f>
        <v>5</v>
      </c>
      <c r="BO36" s="27">
        <f>VLOOKUP(BI36,X36:AF39,7,FALSE)</f>
        <v>7</v>
      </c>
      <c r="BP36" s="27">
        <f>VLOOKUP(BI36,X36:AF39,8,FALSE)</f>
        <v>-2</v>
      </c>
      <c r="BQ36" s="27">
        <f>VLOOKUP(BI36,X36:AF39,9,FALSE)</f>
        <v>6</v>
      </c>
      <c r="BR36" s="1" t="str">
        <f>BI36</f>
        <v>Carcavelos</v>
      </c>
      <c r="BS36" s="1">
        <f>VLOOKUP(BR36,BI36:BQ39,9,FALSE)</f>
        <v>6</v>
      </c>
      <c r="BT36" s="1">
        <f>VLOOKUP(BR36,BI36:BQ39,8,FALSE)</f>
        <v>-2</v>
      </c>
      <c r="BU36" s="28" t="str">
        <f>IF(AND(BS36=BS37,BT37&gt;BT36),BR37,BR36)</f>
        <v>Carcavelos</v>
      </c>
      <c r="BV36" s="29">
        <f>VLOOKUP(BU36,BI36:BQ39,9,FALSE)</f>
        <v>6</v>
      </c>
      <c r="BW36" s="29">
        <f>VLOOKUP(BU36,BI36:BQ39,8,FALSE)</f>
        <v>-2</v>
      </c>
      <c r="BX36" s="28" t="str">
        <f>IF(AND(BV36=BV38,BW38&gt;BW36),BU38,BU36)</f>
        <v>Carcavelos</v>
      </c>
      <c r="BY36" s="1">
        <f>VLOOKUP(BX36,BI36:BQ39,9,FALSE)</f>
        <v>6</v>
      </c>
      <c r="BZ36" s="12">
        <f>VLOOKUP(BX36,BI36:BQ39,8,FALSE)</f>
        <v>-2</v>
      </c>
      <c r="CA36" s="30" t="str">
        <f>IF(AND(BY36=BY39,BZ39&gt;BZ36),BX39,BX36)</f>
        <v>Carcavelos</v>
      </c>
      <c r="CB36" s="1">
        <f>VLOOKUP(CA36,BI36:BQ39,9,FALSE)</f>
        <v>6</v>
      </c>
      <c r="CC36" s="1">
        <f>VLOOKUP(CA36,BI36:BQ39,8,FALSE)</f>
        <v>-2</v>
      </c>
      <c r="CD36" s="12">
        <f>VLOOKUP(CA36,BI36:BQ39,6,FALSE)</f>
        <v>5</v>
      </c>
      <c r="CE36" s="28" t="str">
        <f>IF(AND(CB36=CB37,CC36=CC37,CD37&gt;CD36),CA37,CA36)</f>
        <v>Carcavelos</v>
      </c>
      <c r="CF36" s="1">
        <f>VLOOKUP(CE36,BI36:BQ39,9,FALSE)</f>
        <v>6</v>
      </c>
      <c r="CG36" s="1">
        <f>VLOOKUP(CE36,BI36:BQ39,8,FALSE)</f>
        <v>-2</v>
      </c>
      <c r="CH36" s="1">
        <f>VLOOKUP(CE36,BI36:BQ39,6,FALSE)</f>
        <v>5</v>
      </c>
      <c r="CI36" s="28" t="str">
        <f>IF(AND(CF36=CF38,CG36=CG38,CH38&gt;CH36),CE38,CE36)</f>
        <v>Carcavelos</v>
      </c>
      <c r="CJ36" s="1">
        <f>VLOOKUP(CI36,BI36:BQ39,9,FALSE)</f>
        <v>6</v>
      </c>
      <c r="CK36" s="1">
        <f>VLOOKUP(CI36,BI36:BQ39,8,FALSE)</f>
        <v>-2</v>
      </c>
      <c r="CL36" s="1">
        <f>VLOOKUP(CI36,BI36:BQ39,6,FALSE)</f>
        <v>5</v>
      </c>
      <c r="CM36" s="28" t="str">
        <f>IF(AND(CJ36=CJ39,CK36=CK39,CL39&gt;CL36),CI39,CI36)</f>
        <v>Carcavelos</v>
      </c>
      <c r="CN36" s="1">
        <f>VLOOKUP(CM36,BI36:BQ39,9,FALSE)</f>
        <v>6</v>
      </c>
      <c r="CO36" s="1">
        <f>VLOOKUP(CM36,BI36:BQ39,8,FALSE)</f>
        <v>-2</v>
      </c>
      <c r="CP36" s="1">
        <f>VLOOKUP(CM36,BI36:BQ39,6,FALSE)</f>
        <v>5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2</v>
      </c>
      <c r="CT36" s="27">
        <f>VLOOKUP(CQ36,$X$36:$AF$39,4,FALSE)</f>
        <v>0</v>
      </c>
      <c r="CU36" s="27">
        <f>VLOOKUP(CQ36,$X$36:$AF$39,5,FALSE)</f>
        <v>1</v>
      </c>
      <c r="CV36" s="27">
        <f>VLOOKUP(CQ36,$X$36:$AF$39,6,FALSE)</f>
        <v>5</v>
      </c>
      <c r="CW36" s="27">
        <f>VLOOKUP(CQ36,$X$36:$AF$39,7,FALSE)</f>
        <v>7</v>
      </c>
      <c r="CX36" s="27">
        <f>VLOOKUP(CQ36,$X$36:$AF$39,8,FALSE)</f>
        <v>-2</v>
      </c>
      <c r="CY36" s="27">
        <f>VLOOKUP(CQ36,$X$36:$AF$39,9,FALSE)</f>
        <v>6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Alcoitão "B"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2</v>
      </c>
      <c r="DG36" s="27">
        <f>VLOOKUP(DD36,$X$36:$AF$39,4,FALSE)</f>
        <v>0</v>
      </c>
      <c r="DH36" s="27">
        <f>VLOOKUP(DD36,$X$36:$AF$39,5,FALSE)</f>
        <v>1</v>
      </c>
      <c r="DI36" s="27">
        <f>VLOOKUP(DD36,$X$36:$AF$39,6,FALSE)</f>
        <v>5</v>
      </c>
      <c r="DJ36" s="27">
        <f>VLOOKUP(DD36,$X$36:$AF$39,7,FALSE)</f>
        <v>7</v>
      </c>
      <c r="DK36" s="27">
        <f>VLOOKUP(DD36,$X$36:$AF$39,8,FALSE)</f>
        <v>-2</v>
      </c>
      <c r="DL36" s="27">
        <f>VLOOKUP(DD36,$X$36:$AF$39,9,FALSE)</f>
        <v>6</v>
      </c>
    </row>
    <row r="37" spans="2:116" ht="22.5" customHeight="1" x14ac:dyDescent="0.3">
      <c r="B37" s="211" t="s">
        <v>15</v>
      </c>
      <c r="C37" s="212"/>
      <c r="D37" s="212"/>
      <c r="E37" s="212"/>
      <c r="F37" s="212"/>
      <c r="G37" s="212"/>
      <c r="H37" s="212"/>
      <c r="I37" s="212"/>
      <c r="J37" s="213"/>
      <c r="X37" s="14" t="s">
        <v>78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6">
        <v>33</v>
      </c>
      <c r="C38" s="97">
        <v>45100</v>
      </c>
      <c r="D38" s="98">
        <v>0.70833333333333337</v>
      </c>
      <c r="E38" s="177" t="s">
        <v>92</v>
      </c>
      <c r="F38" s="3">
        <v>4</v>
      </c>
      <c r="G38" s="3">
        <v>1</v>
      </c>
      <c r="H38" s="176" t="s">
        <v>87</v>
      </c>
      <c r="I38" s="174" t="s">
        <v>64</v>
      </c>
      <c r="J38" s="5"/>
      <c r="X38" s="14" t="s">
        <v>67</v>
      </c>
      <c r="Y38" s="15">
        <f>DCOUNT($E$5:$F$29,$F$5,$Z41:$Z42)+DCOUNT($G$5:$H$29,$G$5,$Z41:$Z42)</f>
        <v>3</v>
      </c>
      <c r="Z38" s="15">
        <f>COUNTIF($K$6:$K$35,Z42)</f>
        <v>2</v>
      </c>
      <c r="AA38" s="15">
        <f>Y38-Z38-AB38</f>
        <v>0</v>
      </c>
      <c r="AB38" s="15">
        <f>COUNTIF($L$6:$L$35,Z42)</f>
        <v>1</v>
      </c>
      <c r="AC38" s="15">
        <f>DSUM($E$5:$F$29,$F$5,$Z41:$Z42)+DSUM($G$5:$H$29,$G$5,$Z41:$Z42)</f>
        <v>5</v>
      </c>
      <c r="AD38" s="15">
        <f>DSUM($E$5:$G$29,$G$5,$Z41:$Z42)+DSUM($F$5:$H$29,$F$5,$Z41:$Z42)</f>
        <v>7</v>
      </c>
      <c r="AE38" s="15">
        <f>AC38-AD38</f>
        <v>-2</v>
      </c>
      <c r="AF38" s="16">
        <f>Z38*3+AA38*1</f>
        <v>6</v>
      </c>
      <c r="AH38" s="31" t="str">
        <f>X38</f>
        <v>Carcavelos</v>
      </c>
      <c r="AI38" s="32">
        <f>AF38</f>
        <v>6</v>
      </c>
      <c r="AJ38" s="10" t="str">
        <f>AH38</f>
        <v>Carcavelos</v>
      </c>
      <c r="AK38" s="32">
        <f>VLOOKUP(AJ38,X36:AF39,9,FALSE)</f>
        <v>6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6">
        <v>34</v>
      </c>
      <c r="C39" s="97">
        <v>45100</v>
      </c>
      <c r="D39" s="98">
        <v>0.70833333333333337</v>
      </c>
      <c r="E39" s="176" t="s">
        <v>82</v>
      </c>
      <c r="F39" s="3">
        <v>1</v>
      </c>
      <c r="G39" s="3">
        <v>1</v>
      </c>
      <c r="H39" s="176" t="s">
        <v>81</v>
      </c>
      <c r="I39" s="174" t="s">
        <v>65</v>
      </c>
      <c r="J39" s="5" t="s">
        <v>104</v>
      </c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79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1" t="s">
        <v>16</v>
      </c>
      <c r="C40" s="212"/>
      <c r="D40" s="212"/>
      <c r="E40" s="212"/>
      <c r="F40" s="212"/>
      <c r="G40" s="212"/>
      <c r="H40" s="212"/>
      <c r="I40" s="212"/>
      <c r="J40" s="213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4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5"/>
      <c r="AW40" s="126"/>
      <c r="AX40" s="32"/>
      <c r="AY40" s="10"/>
      <c r="AZ40" s="32"/>
      <c r="BA40" s="32"/>
      <c r="BB40" s="10"/>
      <c r="BC40" s="32"/>
      <c r="BD40" s="32"/>
      <c r="BE40" s="30"/>
      <c r="BF40" s="127"/>
      <c r="BG40" s="125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1">
        <v>38</v>
      </c>
      <c r="C41" s="102">
        <v>45101</v>
      </c>
      <c r="D41" s="103" t="s">
        <v>90</v>
      </c>
      <c r="E41" s="180" t="s">
        <v>92</v>
      </c>
      <c r="F41" s="104">
        <v>4</v>
      </c>
      <c r="G41" s="104">
        <v>0</v>
      </c>
      <c r="H41" s="176" t="s">
        <v>81</v>
      </c>
      <c r="I41" s="175" t="s">
        <v>88</v>
      </c>
      <c r="J41" s="182"/>
      <c r="N41" s="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106"/>
      <c r="C42" s="107"/>
      <c r="D42" s="107"/>
      <c r="E42" s="108"/>
      <c r="F42" s="109" t="s">
        <v>102</v>
      </c>
      <c r="G42" s="108"/>
      <c r="H42" s="110" t="s">
        <v>92</v>
      </c>
      <c r="I42" s="108"/>
      <c r="J42" s="112"/>
      <c r="K42" s="6" t="str">
        <f>IF(F33&lt;&gt;"",IF(F33&gt;G33,E33,IF(G33&gt;F33,H33,"Empate")),"")</f>
        <v>SL Benfica</v>
      </c>
      <c r="L42" s="6" t="str">
        <f>IF(F33&lt;&gt;"",IF(F33&lt;G33,E33,IF(G33&lt;F33,H33,"Empate")),"")</f>
        <v>Carcavelos</v>
      </c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167"/>
      <c r="C43" s="128"/>
      <c r="D43" s="129"/>
      <c r="E43" s="130"/>
      <c r="F43" s="131"/>
      <c r="G43" s="131"/>
      <c r="H43" s="130"/>
      <c r="I43" s="132"/>
      <c r="J43" s="134"/>
      <c r="K43" s="6" t="str">
        <f>IF(F34&lt;&gt;"",IF(F34&gt;G34,E34,IF(G34&gt;F34,H34,"Empate")),"")</f>
        <v>Real SC</v>
      </c>
      <c r="L43" s="6" t="str">
        <f>IF(F34&lt;&gt;"",IF(F34&lt;G34,E34,IF(G34&lt;F34,H34,"Empate")),"")</f>
        <v>Porto Salvo "A"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5" t="s">
        <v>73</v>
      </c>
      <c r="C44" s="206"/>
      <c r="D44" s="206"/>
      <c r="E44" s="206"/>
      <c r="F44" s="206"/>
      <c r="G44" s="206"/>
      <c r="H44" s="206"/>
      <c r="I44" s="206"/>
      <c r="J44" s="207"/>
      <c r="K44" s="6" t="str">
        <f>IF(F35&lt;&gt;"",IF(F35&gt;G35,E35,IF(G35&gt;F35,H35,"Empate")),"")</f>
        <v>Oeiras</v>
      </c>
      <c r="L44" s="6" t="str">
        <f>IF(F35&lt;&gt;"",IF(F35&lt;G35,E35,IF(G35&lt;F35,H35,"Empate")),"")</f>
        <v>ADCEO</v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1</v>
      </c>
      <c r="AA44" s="15">
        <f>Y44-Z44-AB44</f>
        <v>0</v>
      </c>
      <c r="AB44" s="15">
        <f>COUNTIF($L$6:$L$35,X49)</f>
        <v>2</v>
      </c>
      <c r="AC44" s="15">
        <f>DSUM($E$5:$F$29,$F$5,$X48:$X49)+DSUM($G$5:$H$29,$G$5,$X48:$X49)</f>
        <v>2</v>
      </c>
      <c r="AD44" s="15">
        <f>DSUM($E$5:$G$29,$G$5,$X48:$X49)+DSUM($F$5:$H$29,$F$5,$X48:$X49)</f>
        <v>7</v>
      </c>
      <c r="AE44" s="15">
        <f>AC44-AD44</f>
        <v>-5</v>
      </c>
      <c r="AF44" s="16">
        <f>Z44*3+AA44*1</f>
        <v>3</v>
      </c>
      <c r="AH44" s="17" t="str">
        <f>X44</f>
        <v>Cascais</v>
      </c>
      <c r="AI44" s="18">
        <f>AF44</f>
        <v>3</v>
      </c>
      <c r="AJ44" s="19" t="str">
        <f>IF(AI44&gt;=AI45,AH44,AH45)</f>
        <v>Cascais</v>
      </c>
      <c r="AK44" s="18">
        <f>VLOOKUP(AJ44,X44:AF47,9,FALSE)</f>
        <v>3</v>
      </c>
      <c r="AL44" s="19" t="str">
        <f>IF(AK44&gt;=AK46,AJ44,AJ46)</f>
        <v>Cascais</v>
      </c>
      <c r="AM44" s="18">
        <f>VLOOKUP(AL44,X44:AF47,9,FALSE)</f>
        <v>3</v>
      </c>
      <c r="AN44" s="19" t="str">
        <f>IF(AM44&gt;=AM47,AL44,AL47)</f>
        <v>Cascais</v>
      </c>
      <c r="AO44" s="18">
        <f>VLOOKUP(AN44,X44:AF47,9,FALSE)</f>
        <v>3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3</v>
      </c>
      <c r="AX44" s="18">
        <f>VLOOKUP(AV44,X44:AF47,8,FALSE)</f>
        <v>-5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3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1</v>
      </c>
      <c r="BL44" s="27">
        <f>VLOOKUP(BI44,X44:AF47,4,FALSE)</f>
        <v>0</v>
      </c>
      <c r="BM44" s="27">
        <f>VLOOKUP(BI44,X44:AF47,5,FALSE)</f>
        <v>2</v>
      </c>
      <c r="BN44" s="27">
        <f>VLOOKUP(BI44,X44:AF47,6,FALSE)</f>
        <v>2</v>
      </c>
      <c r="BO44" s="27">
        <f>VLOOKUP(BI44,X44:AF47,7,FALSE)</f>
        <v>7</v>
      </c>
      <c r="BP44" s="27">
        <f>VLOOKUP(BI44,X44:AF47,8,FALSE)</f>
        <v>-5</v>
      </c>
      <c r="BQ44" s="27">
        <f>VLOOKUP(BI44,X44:AF47,9,FALSE)</f>
        <v>3</v>
      </c>
      <c r="BR44" s="1" t="str">
        <f>BI44</f>
        <v>Cascais</v>
      </c>
      <c r="BS44" s="1">
        <f>VLOOKUP(BR44,BI44:BQ47,9,FALSE)</f>
        <v>3</v>
      </c>
      <c r="BT44" s="1">
        <f>VLOOKUP(BR44,BI44:BQ47,8,FALSE)</f>
        <v>-5</v>
      </c>
      <c r="BU44" s="28" t="str">
        <f>IF(AND(BS44=BS45,BT45&gt;BT44),BR45,BR44)</f>
        <v>Cascais</v>
      </c>
      <c r="BV44" s="29">
        <f>VLOOKUP(BU44,BI44:BQ47,9,FALSE)</f>
        <v>3</v>
      </c>
      <c r="BW44" s="29">
        <f>VLOOKUP(BU44,BI44:BQ47,8,FALSE)</f>
        <v>-5</v>
      </c>
      <c r="BX44" s="28" t="str">
        <f>IF(AND(BV44=BV46,BW46&gt;BW44),BU46,BU44)</f>
        <v>Cascais</v>
      </c>
      <c r="BY44" s="1">
        <f>VLOOKUP(BX44,BI44:BQ47,9,FALSE)</f>
        <v>3</v>
      </c>
      <c r="BZ44" s="12">
        <f>VLOOKUP(BX44,BI44:BQ47,8,FALSE)</f>
        <v>-5</v>
      </c>
      <c r="CA44" s="30" t="str">
        <f>IF(AND(BY44=BY47,BZ47&gt;BZ44),BX47,BX44)</f>
        <v>Cascais</v>
      </c>
      <c r="CB44" s="1">
        <f>VLOOKUP(CA44,BI44:BQ47,9,FALSE)</f>
        <v>3</v>
      </c>
      <c r="CC44" s="1">
        <f>VLOOKUP(CA44,BI44:BQ47,8,FALSE)</f>
        <v>-5</v>
      </c>
      <c r="CD44" s="12">
        <f>VLOOKUP(CA44,BI44:BQ47,6,FALSE)</f>
        <v>2</v>
      </c>
      <c r="CE44" s="28" t="str">
        <f>IF(AND(CB44=CB45,CC44=CC45,CD45&gt;CD44),CA45,CA44)</f>
        <v>Cascais</v>
      </c>
      <c r="CF44" s="1">
        <f>VLOOKUP(CE44,BI44:BQ47,9,FALSE)</f>
        <v>3</v>
      </c>
      <c r="CG44" s="1">
        <f>VLOOKUP(CE44,BI44:BQ47,8,FALSE)</f>
        <v>-5</v>
      </c>
      <c r="CH44" s="1">
        <f>VLOOKUP(CE44,BI44:BQ47,6,FALSE)</f>
        <v>2</v>
      </c>
      <c r="CI44" s="28" t="str">
        <f>IF(AND(CF44=CF46,CG44=CG46,CH46&gt;CH44),CE46,CE44)</f>
        <v>Cascais</v>
      </c>
      <c r="CJ44" s="1">
        <f>VLOOKUP(CI44,BI44:BQ47,9,FALSE)</f>
        <v>3</v>
      </c>
      <c r="CK44" s="1">
        <f>VLOOKUP(CI44,BI44:BQ47,8,FALSE)</f>
        <v>-5</v>
      </c>
      <c r="CL44" s="1">
        <f>VLOOKUP(CI44,BI44:BQ47,6,FALSE)</f>
        <v>2</v>
      </c>
      <c r="CM44" s="28" t="str">
        <f>IF(AND(CJ44=CJ47,CK44=CK47,CL47&gt;CL44),CI47,CI44)</f>
        <v>Cascais</v>
      </c>
      <c r="CN44" s="1">
        <f>VLOOKUP(CM44,BI44:BQ47,9,FALSE)</f>
        <v>3</v>
      </c>
      <c r="CO44" s="1">
        <f>VLOOKUP(CM44,BI44:BQ47,8,FALSE)</f>
        <v>-5</v>
      </c>
      <c r="CP44" s="1">
        <f>VLOOKUP(CM44,BI44:BQ47,6,FALSE)</f>
        <v>2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1</v>
      </c>
      <c r="CT44" s="27">
        <f>VLOOKUP(CQ44,$X$44:$AF$47,4,FALSE)</f>
        <v>0</v>
      </c>
      <c r="CU44" s="27">
        <f>VLOOKUP(CQ44,$X$44:$AF$47,5,FALSE)</f>
        <v>2</v>
      </c>
      <c r="CV44" s="27">
        <f>VLOOKUP(CQ44,$X$44:$AF$47,6,FALSE)</f>
        <v>2</v>
      </c>
      <c r="CW44" s="27">
        <f>VLOOKUP(CQ44,$X$44:$AF$47,7,FALSE)</f>
        <v>7</v>
      </c>
      <c r="CX44" s="27">
        <f>VLOOKUP(CQ44,$X$44:$AF$47,8,FALSE)</f>
        <v>-5</v>
      </c>
      <c r="CY44" s="27">
        <f>VLOOKUP(CQ44,$X$44:$AF$47,9,FALSE)</f>
        <v>3</v>
      </c>
      <c r="DA44" s="1" t="str">
        <f>IF(ISNA(VLOOKUP(CQ44,K$6:L$25,1,FALSE))=TRUE,CM47,VLOOKUP(CQ44,K$6:L$25,1,FALSE))</f>
        <v>Trajouce</v>
      </c>
      <c r="DB44" s="1" t="str">
        <f>IF(ISNA(VLOOKUP(CQ44,K$6:L$25,2,FALSE))=TRUE,CM47,VLOOKUP(CQ44,K$6:L$25,2,FALSE))</f>
        <v>Trajouce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1</v>
      </c>
      <c r="DG44" s="27">
        <f>VLOOKUP(DD44,$X$44:$AF$47,4,FALSE)</f>
        <v>0</v>
      </c>
      <c r="DH44" s="27">
        <f>VLOOKUP(DD44,$X$44:$AF$47,5,FALSE)</f>
        <v>2</v>
      </c>
      <c r="DI44" s="27">
        <f>VLOOKUP(DD44,$X$44:$AF$47,6,FALSE)</f>
        <v>2</v>
      </c>
      <c r="DJ44" s="27">
        <f>VLOOKUP(DD44,$X$44:$AF$47,7,FALSE)</f>
        <v>7</v>
      </c>
      <c r="DK44" s="27">
        <f>VLOOKUP(DD44,$X$44:$AF$47,8,FALSE)</f>
        <v>-5</v>
      </c>
      <c r="DL44" s="27">
        <f>VLOOKUP(DD44,$X$44:$AF$47,9,FALSE)</f>
        <v>3</v>
      </c>
    </row>
    <row r="45" spans="2:116" ht="22.5" customHeight="1" x14ac:dyDescent="0.3">
      <c r="B45" s="208" t="s">
        <v>14</v>
      </c>
      <c r="C45" s="209"/>
      <c r="D45" s="209"/>
      <c r="E45" s="209"/>
      <c r="F45" s="209"/>
      <c r="G45" s="209"/>
      <c r="H45" s="209"/>
      <c r="I45" s="209"/>
      <c r="J45" s="210"/>
      <c r="K45" s="6" t="str">
        <f>IF(F36&lt;&gt;"",IF(F36&gt;G36,E36,IF(G36&gt;F36,H36,"Empate")),"")</f>
        <v>Torre</v>
      </c>
      <c r="L45" s="6" t="str">
        <f>IF(F36&lt;&gt;"",IF(F36&lt;G36,E36,IF(G36&lt;F36,H36,"Empate")),"")</f>
        <v>Alcoitão "A"</v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Trajouce</v>
      </c>
      <c r="DB45" s="1" t="str">
        <f>IF(ISNA(VLOOKUP(CQ45,K$6:L$25,2,FALSE))=TRUE,CM47,VLOOKUP(CQ45,K$6:L$25,2,FALSE))</f>
        <v>Trajouce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6">
        <v>29</v>
      </c>
      <c r="C46" s="97">
        <v>45099</v>
      </c>
      <c r="D46" s="98">
        <v>0.70833333333333337</v>
      </c>
      <c r="E46" s="177" t="s">
        <v>80</v>
      </c>
      <c r="F46" s="178">
        <v>8</v>
      </c>
      <c r="G46" s="178">
        <v>0</v>
      </c>
      <c r="H46" s="179" t="s">
        <v>71</v>
      </c>
      <c r="I46" s="174" t="s">
        <v>66</v>
      </c>
      <c r="J46" s="5"/>
      <c r="N46" s="79"/>
      <c r="X46" s="14" t="s">
        <v>70</v>
      </c>
      <c r="Y46" s="15">
        <f>DCOUNT($E$5:$F$29,$F$5,$Z48:$Z49)+DCOUNT($G$5:$H$29,$G$5,$Z48:$Z49)</f>
        <v>0</v>
      </c>
      <c r="Z46" s="15">
        <f>COUNTIF($K$6:$K$35,Z49)</f>
        <v>0</v>
      </c>
      <c r="AA46" s="15">
        <f>Y46-Z46-AB46</f>
        <v>0</v>
      </c>
      <c r="AB46" s="15">
        <f>COUNTIF($L$6:$L$35,Z49)</f>
        <v>0</v>
      </c>
      <c r="AC46" s="15">
        <f>DSUM($E$5:$F$29,$F$5,$Z48:$Z49)+DSUM($G$5:$H$29,$G$5,$Z48:$Z49)</f>
        <v>0</v>
      </c>
      <c r="AD46" s="15">
        <f>DSUM($E$5:$G$29,$G$5,$Z48:$Z49)+DSUM($F$5:$H$29,$F$5,$Z48:$Z49)</f>
        <v>0</v>
      </c>
      <c r="AE46" s="15">
        <f>AC46-AD46</f>
        <v>0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0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0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0</v>
      </c>
      <c r="BE46" s="30" t="str">
        <f>IF(AND(BC46=BC47,BD47&gt;BD46),BB47,BB46)</f>
        <v>Algueirão</v>
      </c>
      <c r="BF46" s="36">
        <f>BC46</f>
        <v>0</v>
      </c>
      <c r="BG46" s="37" t="str">
        <f>BE46</f>
        <v>Algueirão</v>
      </c>
      <c r="BI46" s="13" t="str">
        <f>BG46</f>
        <v>Algueirão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Algueirão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Algueirão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Algueirão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Trajouce</v>
      </c>
      <c r="DB46" s="1" t="str">
        <f>IF(ISNA(VLOOKUP(CQ46,K$6:L$25,2,FALSE))=TRUE,CM47,VLOOKUP(CQ46,K$6:L$25,2,FALSE))</f>
        <v>Trajouce</v>
      </c>
      <c r="DD46" s="1" t="str">
        <f>IF(DD45=CM46,CM45,IF(AND(CR47=CR46,CY47=CY46,DA47=CM47,DB47=CM46),DA47,CM46))</f>
        <v>Algueirão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6">
        <v>30</v>
      </c>
      <c r="C47" s="97">
        <v>45099</v>
      </c>
      <c r="D47" s="98">
        <v>0.70833333333333337</v>
      </c>
      <c r="E47" s="176" t="s">
        <v>94</v>
      </c>
      <c r="F47" s="3">
        <v>0</v>
      </c>
      <c r="G47" s="3">
        <v>1</v>
      </c>
      <c r="H47" s="180" t="s">
        <v>86</v>
      </c>
      <c r="I47" s="174" t="s">
        <v>98</v>
      </c>
      <c r="J47" s="5"/>
      <c r="K47" s="6" t="str">
        <f>IF(F38&lt;&gt;"",IF(F38&gt;G38,E38,IF(G38&gt;F38,H38,"Empate")),"")</f>
        <v>SL Benfica</v>
      </c>
      <c r="L47" s="6" t="str">
        <f>IF(F38&lt;&gt;"",IF(F38&lt;G38,E38,IF(G38&lt;F38,H38,"Empate")),"")</f>
        <v>Oeiras</v>
      </c>
      <c r="N47" s="79"/>
      <c r="X47" s="4" t="s">
        <v>71</v>
      </c>
      <c r="Y47" s="39">
        <f>DCOUNT($E$5:$F$29,$F$5,$AA48:$AA49)+DCOUNT($G$5:$H$29,$G$5,$AA48:$AA49)</f>
        <v>3</v>
      </c>
      <c r="Z47" s="39">
        <f>COUNTIF($K$6:$K$35,AA49)</f>
        <v>0</v>
      </c>
      <c r="AA47" s="39">
        <f>Y47-Z47-AB47</f>
        <v>0</v>
      </c>
      <c r="AB47" s="39">
        <f>COUNTIF($L$6:$L$35,AA49)</f>
        <v>3</v>
      </c>
      <c r="AC47" s="39">
        <f>DSUM($E$5:$F$29,$F$5,$AA48:$AA49)+DSUM($G$5:$H$29,$G$5,$AA48:$AA49)</f>
        <v>1</v>
      </c>
      <c r="AD47" s="39">
        <f>DSUM($E$5:$G$29,$G$5,$AA48:$AA49)+DSUM($F$5:$H$29,$F$5,$AA48:$AA49)</f>
        <v>12</v>
      </c>
      <c r="AE47" s="39">
        <f>AC47-AD47</f>
        <v>-11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-11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-11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-11</v>
      </c>
      <c r="BE47" s="44" t="str">
        <f>IF(AND(BC46=BC47,BD47&gt;BD46),BB46,BB47)</f>
        <v>Trajouce</v>
      </c>
      <c r="BF47" s="48">
        <f>VLOOKUP(BE47,X44:AF47,9,FALSE)</f>
        <v>0</v>
      </c>
      <c r="BG47" s="49" t="str">
        <f>BE47</f>
        <v>Trajouce</v>
      </c>
      <c r="BI47" s="13" t="str">
        <f>BG47</f>
        <v>Trajouce</v>
      </c>
      <c r="BJ47" s="26">
        <f>VLOOKUP(BI47,X44:AF47,2,FALSE)</f>
        <v>3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3</v>
      </c>
      <c r="BN47" s="27">
        <f>VLOOKUP(BI47,X44:AF47,6,FALSE)</f>
        <v>1</v>
      </c>
      <c r="BO47" s="27">
        <f>VLOOKUP(BI47,X44:AF47,7,FALSE)</f>
        <v>12</v>
      </c>
      <c r="BP47" s="27">
        <f>VLOOKUP(BI47,X44:AF47,8,FALSE)</f>
        <v>-11</v>
      </c>
      <c r="BQ47" s="27">
        <f>VLOOKUP(BI47,X44:AF47,9,FALSE)</f>
        <v>0</v>
      </c>
      <c r="BR47" s="1" t="str">
        <f>BI47</f>
        <v>Trajouce</v>
      </c>
      <c r="BS47" s="1">
        <f>VLOOKUP(BR47,BI44:BQ47,9,FALSE)</f>
        <v>0</v>
      </c>
      <c r="BT47" s="1">
        <f>VLOOKUP(BR47,BI44:BQ47,8,FALSE)</f>
        <v>-11</v>
      </c>
      <c r="BU47" s="29" t="str">
        <f>IF(AND(BS46=BS47,BT47&gt;BT46),BR46,BR47)</f>
        <v>Trajouce</v>
      </c>
      <c r="BV47" s="29">
        <f>VLOOKUP(BU47,BI44:BQ47,9,FALSE)</f>
        <v>0</v>
      </c>
      <c r="BW47" s="29">
        <f>VLOOKUP(BU47,BI44:BQ47,8,FALSE)</f>
        <v>-11</v>
      </c>
      <c r="BX47" s="29" t="str">
        <f>IF(AND(BV45=BV47,BW47&gt;BW45),BU45,BU47)</f>
        <v>Trajouce</v>
      </c>
      <c r="BY47" s="1">
        <f>VLOOKUP(BX47,BI44:BQ47,9,FALSE)</f>
        <v>0</v>
      </c>
      <c r="BZ47" s="12">
        <f>VLOOKUP(BX47,BI44:BQ47,8,FALSE)</f>
        <v>-11</v>
      </c>
      <c r="CA47" s="30" t="str">
        <f>IF(AND(BY44=BY47,BZ47&gt;BZ44),BX44,BX47)</f>
        <v>Trajouce</v>
      </c>
      <c r="CB47" s="1">
        <f>VLOOKUP(CA47,BI44:BQ47,9,FALSE)</f>
        <v>0</v>
      </c>
      <c r="CC47" s="1">
        <f>VLOOKUP(CA47,BI44:BQ47,8,FALSE)</f>
        <v>-11</v>
      </c>
      <c r="CD47" s="12">
        <f>VLOOKUP(CA47,BI44:BQ47,6,FALSE)</f>
        <v>1</v>
      </c>
      <c r="CE47" s="29" t="str">
        <f>IF(AND(CB46=CB47,CC46=CC47,CD47&gt;CD46),CA46,CA47)</f>
        <v>Trajouce</v>
      </c>
      <c r="CF47" s="1">
        <f>VLOOKUP(CE47,BI44:BQ47,9,FALSE)</f>
        <v>0</v>
      </c>
      <c r="CG47" s="1">
        <f>VLOOKUP(CE47,BI44:BQ47,8,FALSE)</f>
        <v>-11</v>
      </c>
      <c r="CH47" s="1">
        <f>VLOOKUP(CE47,BI44:BQ47,6,FALSE)</f>
        <v>1</v>
      </c>
      <c r="CI47" s="29" t="str">
        <f>IF(AND(CF45=CF47,CG45=CG47,CH47&gt;CH45),CE45,CE47)</f>
        <v>Trajouce</v>
      </c>
      <c r="CJ47" s="1">
        <f>VLOOKUP(CI47,BI44:BQ47,9,FALSE)</f>
        <v>0</v>
      </c>
      <c r="CK47" s="1">
        <f>VLOOKUP(CI47,BI44:BQ47,8,FALSE)</f>
        <v>-11</v>
      </c>
      <c r="CL47" s="1">
        <f>VLOOKUP(CI47,BI44:BQ47,6,FALSE)</f>
        <v>1</v>
      </c>
      <c r="CM47" s="28" t="str">
        <f>IF(AND(CJ44=CJ47,CK44=CK47,CL47&gt;CL44),CI44,CI47)</f>
        <v>Trajouce</v>
      </c>
      <c r="CN47" s="1">
        <f>VLOOKUP(CM47,BI44:BQ47,9,FALSE)</f>
        <v>0</v>
      </c>
      <c r="CO47" s="1">
        <f>VLOOKUP(CM47,BI44:BQ47,8,FALSE)</f>
        <v>-11</v>
      </c>
      <c r="CP47" s="1">
        <f>VLOOKUP(CM47,BI44:BQ47,6,FALSE)</f>
        <v>1</v>
      </c>
      <c r="CQ47" s="13" t="str">
        <f>CM47</f>
        <v>Trajouce</v>
      </c>
      <c r="CR47" s="26">
        <f>VLOOKUP(CQ47,$X$44:$AF$47,2,FALSE)</f>
        <v>3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3</v>
      </c>
      <c r="CV47" s="27">
        <f>VLOOKUP(CQ47,$X$44:$AF$47,6,FALSE)</f>
        <v>1</v>
      </c>
      <c r="CW47" s="27">
        <f>VLOOKUP(CQ47,$X$44:$AF$47,7,FALSE)</f>
        <v>12</v>
      </c>
      <c r="CX47" s="27">
        <f>VLOOKUP(CQ47,$X$44:$AF$47,8,FALSE)</f>
        <v>-11</v>
      </c>
      <c r="CY47" s="27">
        <f>VLOOKUP(CQ47,$X$44:$AF$47,9,FALSE)</f>
        <v>0</v>
      </c>
      <c r="DA47" s="1" t="str">
        <f>IF(ISNA(VLOOKUP(CQ47,K$6:L$25,1,FALSE))=TRUE,CM47,VLOOKUP(CQ47,K$6:L$25,1,FALSE))</f>
        <v>Trajouce</v>
      </c>
      <c r="DB47" s="1" t="str">
        <f>IF(ISNA(VLOOKUP(CQ47,K$6:L$25,2,FALSE))=TRUE,CM47,VLOOKUP(CQ47,K$6:L$25,2,FALSE))</f>
        <v>Trajouce</v>
      </c>
      <c r="DD47" s="1" t="str">
        <f>IF(DD46=CM47,CM46,IF(AND(CR48=CR47,CY48=CY47,DA48=CM48,DB48=CM47),DA48,CM47))</f>
        <v>Trajouce</v>
      </c>
      <c r="DE47" s="26">
        <f>VLOOKUP(DD47,$X$44:$AF$47,2,FALSE)</f>
        <v>3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3</v>
      </c>
      <c r="DI47" s="27">
        <f>VLOOKUP(DD47,$X$44:$AF$47,6,FALSE)</f>
        <v>1</v>
      </c>
      <c r="DJ47" s="27">
        <f>VLOOKUP(DD47,$X$44:$AF$47,7,FALSE)</f>
        <v>12</v>
      </c>
      <c r="DK47" s="27">
        <f>VLOOKUP(DD47,$X$44:$AF$47,8,FALSE)</f>
        <v>-11</v>
      </c>
      <c r="DL47" s="27">
        <f>VLOOKUP(DD47,$X$44:$AF$47,9,FALSE)</f>
        <v>0</v>
      </c>
    </row>
    <row r="48" spans="2:116" ht="22.5" customHeight="1" x14ac:dyDescent="0.3">
      <c r="B48" s="96">
        <v>31</v>
      </c>
      <c r="C48" s="97">
        <v>45099</v>
      </c>
      <c r="D48" s="98">
        <v>0.70833333333333337</v>
      </c>
      <c r="E48" s="176" t="s">
        <v>85</v>
      </c>
      <c r="F48" s="3">
        <v>2</v>
      </c>
      <c r="G48" s="3">
        <v>2</v>
      </c>
      <c r="H48" s="180" t="s">
        <v>96</v>
      </c>
      <c r="I48" s="174" t="s">
        <v>99</v>
      </c>
      <c r="J48" s="5" t="s">
        <v>103</v>
      </c>
      <c r="K48" s="6" t="str">
        <f>IF(F39&lt;&gt;"",IF(F39&gt;G39,E39,IF(G39&gt;F39,H39,"Empate")),"")</f>
        <v>Empate</v>
      </c>
      <c r="L48" s="6" t="str">
        <f>IF(F39&lt;&gt;"",IF(F39&lt;G39,E39,IF(G39&lt;F39,H39,"Empate")),"")</f>
        <v>Empate</v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6">
        <v>32</v>
      </c>
      <c r="C49" s="97">
        <v>45099</v>
      </c>
      <c r="D49" s="98">
        <v>0.70833333333333337</v>
      </c>
      <c r="E49" s="176" t="s">
        <v>68</v>
      </c>
      <c r="F49" s="3">
        <v>0</v>
      </c>
      <c r="G49" s="3">
        <v>0</v>
      </c>
      <c r="H49" s="181" t="s">
        <v>84</v>
      </c>
      <c r="I49" s="174" t="s">
        <v>89</v>
      </c>
      <c r="J49" s="5" t="s">
        <v>103</v>
      </c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1" t="s">
        <v>15</v>
      </c>
      <c r="C50" s="212"/>
      <c r="D50" s="212"/>
      <c r="E50" s="212"/>
      <c r="F50" s="212"/>
      <c r="G50" s="212"/>
      <c r="H50" s="212"/>
      <c r="I50" s="212"/>
      <c r="J50" s="213"/>
      <c r="K50" s="6" t="str">
        <f>IF(F41&lt;&gt;"",IF(F41&gt;G41,E41,IF(G41&gt;F41,H41,"Empate")),"")</f>
        <v>SL Benfica</v>
      </c>
      <c r="L50" s="6" t="str">
        <f>IF(F41&lt;&gt;"",IF(F41&lt;G41,E41,IF(G41&lt;F41,H41,"Empate")),"")</f>
        <v>Torre</v>
      </c>
      <c r="N50" s="79"/>
    </row>
    <row r="51" spans="2:27" ht="22.5" customHeight="1" x14ac:dyDescent="0.3">
      <c r="B51" s="96">
        <v>35</v>
      </c>
      <c r="C51" s="97">
        <v>45100</v>
      </c>
      <c r="D51" s="98">
        <v>0.70833333333333337</v>
      </c>
      <c r="E51" s="177" t="s">
        <v>80</v>
      </c>
      <c r="F51" s="3">
        <v>3</v>
      </c>
      <c r="G51" s="3">
        <v>0</v>
      </c>
      <c r="H51" s="176" t="s">
        <v>85</v>
      </c>
      <c r="I51" s="174" t="s">
        <v>97</v>
      </c>
      <c r="J51" s="5"/>
      <c r="K51" s="6"/>
      <c r="L51" s="6"/>
      <c r="N51" s="79"/>
    </row>
    <row r="52" spans="2:27" ht="22.5" customHeight="1" x14ac:dyDescent="0.3">
      <c r="B52" s="96">
        <v>36</v>
      </c>
      <c r="C52" s="97">
        <v>45100</v>
      </c>
      <c r="D52" s="98">
        <v>0.70833333333333337</v>
      </c>
      <c r="E52" s="181" t="s">
        <v>86</v>
      </c>
      <c r="F52" s="3">
        <v>0</v>
      </c>
      <c r="G52" s="3">
        <v>3</v>
      </c>
      <c r="H52" s="176" t="s">
        <v>68</v>
      </c>
      <c r="I52" s="174" t="s">
        <v>88</v>
      </c>
      <c r="J52" s="5"/>
      <c r="K52" s="113"/>
      <c r="L52" s="113"/>
      <c r="N52" s="79"/>
    </row>
    <row r="53" spans="2:27" ht="22.5" customHeight="1" x14ac:dyDescent="0.3">
      <c r="B53" s="211" t="s">
        <v>16</v>
      </c>
      <c r="C53" s="212"/>
      <c r="D53" s="212"/>
      <c r="E53" s="212"/>
      <c r="F53" s="212"/>
      <c r="G53" s="212"/>
      <c r="H53" s="212"/>
      <c r="I53" s="212"/>
      <c r="J53" s="213"/>
      <c r="N53" s="79"/>
    </row>
    <row r="54" spans="2:27" ht="22.5" customHeight="1" x14ac:dyDescent="0.3">
      <c r="B54" s="101">
        <v>37</v>
      </c>
      <c r="C54" s="102">
        <v>45100</v>
      </c>
      <c r="D54" s="103">
        <v>0.80555555555555547</v>
      </c>
      <c r="E54" s="176" t="s">
        <v>80</v>
      </c>
      <c r="F54" s="104">
        <v>4</v>
      </c>
      <c r="G54" s="104">
        <v>3</v>
      </c>
      <c r="H54" s="176" t="s">
        <v>68</v>
      </c>
      <c r="I54" s="174" t="s">
        <v>97</v>
      </c>
      <c r="J54" s="105"/>
      <c r="N54" s="1"/>
    </row>
    <row r="55" spans="2:27" ht="22.5" customHeight="1" x14ac:dyDescent="0.3">
      <c r="B55" s="106"/>
      <c r="C55" s="107"/>
      <c r="D55" s="107"/>
      <c r="E55" s="108"/>
      <c r="F55" s="109" t="s">
        <v>101</v>
      </c>
      <c r="G55" s="108"/>
      <c r="H55" s="110" t="str">
        <f>IF(F54&lt;&gt;"",IF(F54&gt;G54,E54,IF(G54&gt;F54,H54,"Empate")),"")</f>
        <v>Estoril AC</v>
      </c>
      <c r="I55" s="108"/>
      <c r="J55" s="111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>Estoril AC</v>
      </c>
      <c r="L58" s="6" t="str">
        <f>IF(F46&lt;&gt;"",IF(F46&lt;G46,E46,IF(G46&lt;F46,H46,"Empate")),"")</f>
        <v>Trajouce</v>
      </c>
      <c r="N58" s="1"/>
    </row>
    <row r="59" spans="2:27" ht="22.5" hidden="1" customHeight="1" x14ac:dyDescent="0.3">
      <c r="K59" s="6" t="str">
        <f>IF(F47&lt;&gt;"",IF(F47&gt;G47,E47,IF(G47&gt;F47,H47,"Empate")),"")</f>
        <v>Tires</v>
      </c>
      <c r="L59" s="6" t="str">
        <f>IF(F47&lt;&gt;"",IF(F47&lt;G47,E47,IF(G47&lt;F47,H47,"Empate")),"")</f>
        <v>Alcoitão "B"</v>
      </c>
      <c r="N59" s="1"/>
    </row>
    <row r="60" spans="2:27" ht="22.5" hidden="1" customHeight="1" x14ac:dyDescent="0.3">
      <c r="K60" s="6" t="str">
        <f>IF(F48&lt;&gt;"",IF(F48&gt;G48,E48,IF(G48&gt;F48,H48,"Empate")),"")</f>
        <v>Empate</v>
      </c>
      <c r="L60" s="6" t="str">
        <f>IF(F48&lt;&gt;"",IF(F48&lt;G48,E48,IF(G48&lt;F48,H48,"Empate")),"")</f>
        <v>Empate</v>
      </c>
      <c r="N60" s="1"/>
    </row>
    <row r="61" spans="2:27" ht="22.5" hidden="1" customHeight="1" x14ac:dyDescent="0.3">
      <c r="K61" s="6" t="str">
        <f>IF(F49&lt;&gt;"",IF(F49&gt;G49,E49,IF(G49&gt;F49,H49,"Empate")),"")</f>
        <v>Empate</v>
      </c>
      <c r="L61" s="6" t="str">
        <f>IF(F49&lt;&gt;"",IF(F49&lt;G49,E49,IF(G49&lt;F49,H49,"Empate")),"")</f>
        <v>Empate</v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>Estoril AC</v>
      </c>
      <c r="L63" s="6" t="str">
        <f>IF(F51&lt;&gt;"",IF(F51&lt;G51,E51,IF(G51&lt;F51,H51,"Empate")),"")</f>
        <v>S. J. Brito</v>
      </c>
      <c r="N63" s="1"/>
    </row>
    <row r="64" spans="2:27" ht="22.5" hidden="1" customHeight="1" x14ac:dyDescent="0.3">
      <c r="K64" s="6" t="str">
        <f>IF(F52&lt;&gt;"",IF(F52&gt;G52,E52,IF(G52&gt;F52,H52,"Empate")),"")</f>
        <v>Cascais</v>
      </c>
      <c r="L64" s="6" t="str">
        <f>IF(F52&lt;&gt;"",IF(F52&lt;G52,E52,IF(G52&lt;F52,H52,"Empate")),"")</f>
        <v>Tires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>Estoril AC</v>
      </c>
      <c r="L66" s="6" t="str">
        <f>IF(F54&lt;&gt;"",IF(F54&lt;G54,E54,IF(G54&lt;F54,H54,"Empate")),"")</f>
        <v>Cascais</v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Estoril AC</v>
      </c>
      <c r="Z79" s="65">
        <f t="shared" si="10"/>
        <v>3</v>
      </c>
      <c r="AA79" s="65">
        <f t="shared" si="10"/>
        <v>1</v>
      </c>
      <c r="AB79" s="65">
        <f t="shared" si="10"/>
        <v>0</v>
      </c>
      <c r="AC79" s="65">
        <f t="shared" si="10"/>
        <v>2</v>
      </c>
      <c r="AD79" s="65">
        <f t="shared" si="10"/>
        <v>7</v>
      </c>
      <c r="AE79" s="65">
        <f t="shared" si="10"/>
        <v>5</v>
      </c>
      <c r="AF79" s="65">
        <f t="shared" si="10"/>
        <v>2</v>
      </c>
      <c r="AG79" s="65">
        <f t="shared" si="10"/>
        <v>3</v>
      </c>
      <c r="AH79" s="1" t="str">
        <f t="shared" ref="AH79:AH84" si="11">Y79</f>
        <v>Estoril AC</v>
      </c>
      <c r="AI79" s="1">
        <f t="shared" ref="AI79:AJ84" si="12">AG79</f>
        <v>3</v>
      </c>
      <c r="AJ79" s="72" t="str">
        <f>IF(AI79&gt;=AI80,AH79,AH80)</f>
        <v>Estoril AC</v>
      </c>
      <c r="AK79" s="32">
        <f t="shared" ref="AK79:AK84" si="13">VLOOKUP(AJ79,$Y$79:$AG$84,9,FALSE)</f>
        <v>3</v>
      </c>
      <c r="AL79" s="71" t="str">
        <f>IF(AK79&gt;=AK81,AJ79,AJ81)</f>
        <v>Estoril AC</v>
      </c>
      <c r="AM79" s="32">
        <f t="shared" ref="AM79:AM84" si="14">VLOOKUP(AL79,$Y$79:$AG$84,9,FALSE)</f>
        <v>3</v>
      </c>
      <c r="AN79" s="71" t="str">
        <f>IF(AM79&gt;=AM82,AL79,AL82)</f>
        <v>Estoril AC</v>
      </c>
      <c r="AO79" s="32">
        <f t="shared" ref="AO79:AO84" si="15">VLOOKUP(AN79,$Y$79:$AG$84,9,FALSE)</f>
        <v>3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Alcoitão "B"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3</v>
      </c>
      <c r="AE80" s="65">
        <f t="shared" si="44"/>
        <v>5</v>
      </c>
      <c r="AF80" s="65">
        <f t="shared" si="44"/>
        <v>-2</v>
      </c>
      <c r="AG80" s="65">
        <f t="shared" si="44"/>
        <v>3</v>
      </c>
      <c r="AH80" s="1" t="str">
        <f t="shared" si="11"/>
        <v>Alcoitão "B"</v>
      </c>
      <c r="AI80" s="1">
        <f t="shared" si="12"/>
        <v>3</v>
      </c>
      <c r="AJ80" s="2" t="str">
        <f>IF(AI80&lt;=AI79,AH80,AH79)</f>
        <v>Alcoitão "B"</v>
      </c>
      <c r="AK80" s="32">
        <f t="shared" si="13"/>
        <v>3</v>
      </c>
      <c r="AL80" s="1" t="str">
        <f>AJ80</f>
        <v>Alcoitão "B"</v>
      </c>
      <c r="AM80" s="32">
        <f t="shared" si="14"/>
        <v>3</v>
      </c>
      <c r="AN80" s="1" t="str">
        <f>AL80</f>
        <v>Alcoitão "B"</v>
      </c>
      <c r="AO80" s="32">
        <f t="shared" si="15"/>
        <v>3</v>
      </c>
      <c r="AP80" s="1" t="str">
        <f>AN80</f>
        <v>Alcoitão "B"</v>
      </c>
      <c r="AQ80" s="32">
        <f t="shared" si="16"/>
        <v>3</v>
      </c>
      <c r="AR80" s="1" t="str">
        <f>AP80</f>
        <v>Alcoitão "B"</v>
      </c>
      <c r="AS80" s="32">
        <f t="shared" si="17"/>
        <v>3</v>
      </c>
      <c r="AT80" s="71" t="str">
        <f>IF(AS80&gt;=AS81,AR80,AR81)</f>
        <v>Alcoitão "B"</v>
      </c>
      <c r="AU80" s="32">
        <f>VLOOKUP(AT80,$Y$79:$AG$84,9,FALSE)</f>
        <v>3</v>
      </c>
      <c r="AV80" s="71" t="str">
        <f>IF(AU80&gt;=AU82,AT80,AT82)</f>
        <v>Alcoitão "B"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S. J. Brito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3</v>
      </c>
      <c r="AE81" s="65">
        <f t="shared" si="47"/>
        <v>7</v>
      </c>
      <c r="AF81" s="65">
        <f t="shared" si="47"/>
        <v>-4</v>
      </c>
      <c r="AG81" s="65">
        <f t="shared" si="47"/>
        <v>3</v>
      </c>
      <c r="AH81" s="1" t="str">
        <f t="shared" si="11"/>
        <v>S. J. Brito</v>
      </c>
      <c r="AI81" s="1">
        <f t="shared" si="12"/>
        <v>3</v>
      </c>
      <c r="AJ81" s="1" t="str">
        <f>AH81</f>
        <v>S. J. Brito</v>
      </c>
      <c r="AK81" s="32">
        <f t="shared" si="13"/>
        <v>3</v>
      </c>
      <c r="AL81" s="71" t="str">
        <f>IF(AK81&lt;=AK79,AJ81,AJ79)</f>
        <v>S. J. Brito</v>
      </c>
      <c r="AM81" s="32">
        <f t="shared" si="14"/>
        <v>3</v>
      </c>
      <c r="AN81" s="1" t="str">
        <f>AL81</f>
        <v>S. J. Brito</v>
      </c>
      <c r="AO81" s="32">
        <f t="shared" si="15"/>
        <v>3</v>
      </c>
      <c r="AP81" s="1" t="str">
        <f t="shared" ref="AP81:AP82" si="48">AN81</f>
        <v>S. J. Brito</v>
      </c>
      <c r="AQ81" s="32">
        <f t="shared" si="16"/>
        <v>3</v>
      </c>
      <c r="AR81" s="1" t="str">
        <f>AP81</f>
        <v>S. J. Brito</v>
      </c>
      <c r="AS81" s="32">
        <f t="shared" si="17"/>
        <v>3</v>
      </c>
      <c r="AT81" s="71" t="str">
        <f>IF(AS81&lt;=AS80,AR81,AR80)</f>
        <v>S. J. Brito</v>
      </c>
      <c r="AU81" s="32">
        <f>VLOOKUP(AT81,$Y$79:$AG$84,9,FALSE)</f>
        <v>3</v>
      </c>
      <c r="AV81" s="1" t="str">
        <f>AT81</f>
        <v>S. J. Brito</v>
      </c>
      <c r="AW81" s="32">
        <f>VLOOKUP(AV81,$Y$79:$AG$84,9,FALSE)</f>
        <v>3</v>
      </c>
      <c r="AX81" s="1" t="str">
        <f>AV81</f>
        <v>S. J. Brito</v>
      </c>
      <c r="AY81" s="32">
        <f>VLOOKUP(AX81,$Y$79:$AG$84,9,FALSE)</f>
        <v>3</v>
      </c>
      <c r="AZ81" s="1" t="str">
        <f>AX81</f>
        <v>S. J. Brito</v>
      </c>
      <c r="BA81" s="32">
        <f>VLOOKUP(AZ81,$Y$79:$AG$84,9,FALSE)</f>
        <v>3</v>
      </c>
      <c r="BB81" s="71" t="str">
        <f>IF(BA81&gt;=BA82,AZ81,AZ82)</f>
        <v>S. J. Brito</v>
      </c>
      <c r="BC81" s="32">
        <f>VLOOKUP(BB81,$Y$79:$AG$84,9,FALSE)</f>
        <v>3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Cascais</v>
      </c>
      <c r="Z82" s="65">
        <f t="shared" si="49"/>
        <v>3</v>
      </c>
      <c r="AA82" s="65">
        <f t="shared" si="49"/>
        <v>1</v>
      </c>
      <c r="AB82" s="65">
        <f t="shared" si="49"/>
        <v>0</v>
      </c>
      <c r="AC82" s="65">
        <f t="shared" si="49"/>
        <v>2</v>
      </c>
      <c r="AD82" s="65">
        <f t="shared" si="49"/>
        <v>2</v>
      </c>
      <c r="AE82" s="65">
        <f t="shared" si="49"/>
        <v>7</v>
      </c>
      <c r="AF82" s="65">
        <f t="shared" si="49"/>
        <v>-5</v>
      </c>
      <c r="AG82" s="65">
        <f t="shared" si="49"/>
        <v>3</v>
      </c>
      <c r="AH82" s="1" t="str">
        <f t="shared" si="11"/>
        <v>Cascais</v>
      </c>
      <c r="AI82" s="1">
        <f t="shared" si="12"/>
        <v>3</v>
      </c>
      <c r="AJ82" s="1" t="str">
        <f>AH82</f>
        <v>Cascais</v>
      </c>
      <c r="AK82" s="32">
        <f t="shared" si="13"/>
        <v>3</v>
      </c>
      <c r="AL82" s="1" t="str">
        <f t="shared" ref="AL82:AL84" si="50">AJ82</f>
        <v>Cascais</v>
      </c>
      <c r="AM82" s="32">
        <f t="shared" si="14"/>
        <v>3</v>
      </c>
      <c r="AN82" s="71" t="str">
        <f>IF(AM82&lt;=AM79,AL82,AL79)</f>
        <v>Cascais</v>
      </c>
      <c r="AO82" s="32">
        <f t="shared" si="15"/>
        <v>3</v>
      </c>
      <c r="AP82" s="1" t="str">
        <f t="shared" si="48"/>
        <v>Cascais</v>
      </c>
      <c r="AQ82" s="32">
        <f t="shared" si="16"/>
        <v>3</v>
      </c>
      <c r="AR82" s="1" t="str">
        <f>AP82</f>
        <v>Cascais</v>
      </c>
      <c r="AS82" s="32">
        <f t="shared" si="17"/>
        <v>3</v>
      </c>
      <c r="AT82" s="1" t="str">
        <f>AR82</f>
        <v>Cascais</v>
      </c>
      <c r="AU82" s="32">
        <f>VLOOKUP(AT82,$Y$79:$AG$84,9,FALSE)</f>
        <v>3</v>
      </c>
      <c r="AV82" s="71" t="str">
        <f>IF(AU82&lt;=AU80,AT82,AT80)</f>
        <v>Cascais</v>
      </c>
      <c r="AW82" s="32">
        <f>VLOOKUP(AV82,$Y$79:$AG$84,9,FALSE)</f>
        <v>3</v>
      </c>
      <c r="AX82" s="1" t="str">
        <f>AV82</f>
        <v>Cascais</v>
      </c>
      <c r="AY82" s="32">
        <f>VLOOKUP(AX82,$Y$79:$AG$84,9,FALSE)</f>
        <v>3</v>
      </c>
      <c r="AZ82" s="1" t="str">
        <f>AX82</f>
        <v>Cascais</v>
      </c>
      <c r="BA82" s="32">
        <f>VLOOKUP(AZ82,$Y$79:$AG$84,9,FALSE)</f>
        <v>3</v>
      </c>
      <c r="BB82" s="71" t="str">
        <f>IF(BA82&lt;=BA81,AZ82,AZ81)</f>
        <v>Cascais</v>
      </c>
      <c r="BC82" s="32">
        <f>VLOOKUP(BB82,$Y$79:$AG$84,9,FALSE)</f>
        <v>3</v>
      </c>
      <c r="BD82" s="1" t="str">
        <f>BB82</f>
        <v>Cascais</v>
      </c>
      <c r="BE82" s="32">
        <f>VLOOKUP(BD82,$Y$79:$AG$84,9,FALSE)</f>
        <v>3</v>
      </c>
      <c r="BF82" s="1" t="str">
        <f>BD82</f>
        <v>Cascais</v>
      </c>
      <c r="BG82" s="32">
        <f>VLOOKUP(BF82,$Y$79:$AG$84,9,FALSE)</f>
        <v>3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 E50 H50">
    <cfRule type="cellIs" dxfId="3" priority="77" operator="equal">
      <formula>"Portugal"</formula>
    </cfRule>
  </conditionalFormatting>
  <conditionalFormatting sqref="H34:H35">
    <cfRule type="cellIs" dxfId="2" priority="9" operator="equal">
      <formula>"Portugal"</formula>
    </cfRule>
  </conditionalFormatting>
  <conditionalFormatting sqref="H47:H48">
    <cfRule type="cellIs" dxfId="1" priority="1" operator="equal">
      <formula>"Portugal"</formula>
    </cfRule>
  </conditionalFormatting>
  <conditionalFormatting sqref="N32:N36">
    <cfRule type="cellIs" dxfId="0" priority="124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D2</vt:lpstr>
      <vt:lpstr>'D2'!Área_de_Impressão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2023-06-24T13:07:42Z</dcterms:modified>
</cp:coreProperties>
</file>